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S:\CRCacctcorp\Earnings Release\2020\4Q 2020\"/>
    </mc:Choice>
  </mc:AlternateContent>
  <xr:revisionPtr revIDLastSave="0" documentId="13_ncr:1_{3F9AE55E-4A75-4068-AAF0-3E6954A6FD7B}" xr6:coauthVersionLast="45" xr6:coauthVersionMax="45" xr10:uidLastSave="{00000000-0000-0000-0000-000000000000}"/>
  <bookViews>
    <workbookView xWindow="28680" yWindow="-120" windowWidth="29040" windowHeight="17640" xr2:uid="{00000000-000D-0000-FFFF-FFFF00000000}"/>
  </bookViews>
  <sheets>
    <sheet name="Statements of Income" sheetId="5" r:id="rId1"/>
    <sheet name="Production Statistics" sheetId="2" r:id="rId2"/>
    <sheet name="Reserves" sheetId="3" r:id="rId3"/>
  </sheets>
  <definedNames>
    <definedName name="_xlnm.Print_Area" localSheetId="1">'Production Statistics'!$A$1:$AA$33</definedName>
    <definedName name="_xlnm.Print_Area" localSheetId="0">'Statements of Income'!$B$1:$AB$110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80" i="5" l="1"/>
  <c r="V70" i="5"/>
  <c r="V69" i="5"/>
  <c r="W88" i="5"/>
  <c r="W80" i="5"/>
  <c r="W64" i="5"/>
  <c r="F28" i="3" l="1"/>
  <c r="Y27" i="2" l="1"/>
  <c r="Y25" i="2"/>
  <c r="Y18" i="2"/>
  <c r="Y13" i="2"/>
  <c r="X25" i="2"/>
  <c r="X27" i="2" s="1"/>
  <c r="X18" i="2"/>
  <c r="X13" i="2"/>
  <c r="W70" i="5" l="1"/>
  <c r="V88" i="5" l="1"/>
  <c r="W87" i="5"/>
  <c r="V87" i="5"/>
  <c r="W83" i="5"/>
  <c r="V83" i="5"/>
  <c r="W79" i="5"/>
  <c r="V79" i="5"/>
  <c r="W78" i="5"/>
  <c r="V78" i="5"/>
  <c r="W77" i="5"/>
  <c r="V77" i="5"/>
  <c r="W76" i="5"/>
  <c r="V76" i="5"/>
  <c r="W69" i="5"/>
  <c r="W68" i="5"/>
  <c r="V68" i="5"/>
  <c r="W67" i="5"/>
  <c r="V67" i="5"/>
  <c r="W66" i="5"/>
  <c r="V66" i="5"/>
  <c r="W65" i="5"/>
  <c r="V65" i="5"/>
  <c r="W63" i="5"/>
  <c r="V63" i="5"/>
  <c r="W62" i="5"/>
  <c r="V62" i="5"/>
  <c r="W61" i="5"/>
  <c r="V61" i="5"/>
  <c r="W57" i="5"/>
  <c r="V57" i="5"/>
  <c r="W56" i="5"/>
  <c r="V56" i="5"/>
  <c r="W55" i="5"/>
  <c r="V55" i="5"/>
  <c r="W54" i="5"/>
  <c r="V54" i="5"/>
  <c r="W53" i="5"/>
  <c r="V53" i="5"/>
  <c r="AB101" i="5"/>
  <c r="X101" i="5"/>
  <c r="V25" i="2"/>
  <c r="U25" i="2"/>
  <c r="V18" i="2"/>
  <c r="U18" i="2"/>
  <c r="V13" i="2"/>
  <c r="U13" i="2"/>
  <c r="V58" i="5" l="1"/>
  <c r="V71" i="5"/>
  <c r="V89" i="5"/>
  <c r="W58" i="5"/>
  <c r="W71" i="5"/>
  <c r="V27" i="2"/>
  <c r="U27" i="2"/>
  <c r="W89" i="5"/>
  <c r="V73" i="5" l="1"/>
  <c r="V82" i="5" s="1"/>
  <c r="V84" i="5" s="1"/>
  <c r="V91" i="5" s="1"/>
  <c r="W73" i="5"/>
  <c r="W82" i="5" s="1"/>
  <c r="W84" i="5" s="1"/>
  <c r="W91" i="5" s="1"/>
  <c r="AB43" i="5"/>
  <c r="AB88" i="5" s="1"/>
  <c r="AA43" i="5"/>
  <c r="AB42" i="5"/>
  <c r="AA42" i="5"/>
  <c r="AB38" i="5"/>
  <c r="AB83" i="5" s="1"/>
  <c r="AA38" i="5"/>
  <c r="AB36" i="5"/>
  <c r="AB80" i="5" s="1"/>
  <c r="AA36" i="5"/>
  <c r="AB35" i="5"/>
  <c r="AA35" i="5"/>
  <c r="AB34" i="5"/>
  <c r="AB78" i="5" s="1"/>
  <c r="AA34" i="5"/>
  <c r="AB33" i="5"/>
  <c r="AB77" i="5" s="1"/>
  <c r="AA33" i="5"/>
  <c r="AB32" i="5"/>
  <c r="AB76" i="5" s="1"/>
  <c r="AA32" i="5"/>
  <c r="AB26" i="5"/>
  <c r="AB70" i="5" s="1"/>
  <c r="AB25" i="5"/>
  <c r="AB69" i="5" s="1"/>
  <c r="AA25" i="5"/>
  <c r="AB24" i="5"/>
  <c r="AB68" i="5" s="1"/>
  <c r="AA24" i="5"/>
  <c r="AB23" i="5"/>
  <c r="AB67" i="5" s="1"/>
  <c r="AA23" i="5"/>
  <c r="AB22" i="5"/>
  <c r="AB66" i="5" s="1"/>
  <c r="AA22" i="5"/>
  <c r="AB21" i="5"/>
  <c r="AB65" i="5" s="1"/>
  <c r="AA21" i="5"/>
  <c r="AB20" i="5"/>
  <c r="AA20" i="5"/>
  <c r="AB19" i="5"/>
  <c r="AB63" i="5" s="1"/>
  <c r="AA19" i="5"/>
  <c r="AB18" i="5"/>
  <c r="AB62" i="5" s="1"/>
  <c r="AA18" i="5"/>
  <c r="AB17" i="5"/>
  <c r="AB61" i="5" s="1"/>
  <c r="AA17" i="5"/>
  <c r="AB13" i="5"/>
  <c r="AB57" i="5" s="1"/>
  <c r="AB12" i="5"/>
  <c r="AB56" i="5" s="1"/>
  <c r="AA12" i="5"/>
  <c r="AB11" i="5"/>
  <c r="AB55" i="5" s="1"/>
  <c r="AA11" i="5"/>
  <c r="AB10" i="5"/>
  <c r="AB54" i="5" s="1"/>
  <c r="AA10" i="5"/>
  <c r="AB9" i="5"/>
  <c r="AB53" i="5" s="1"/>
  <c r="AA9" i="5"/>
  <c r="X43" i="5"/>
  <c r="X88" i="5" s="1"/>
  <c r="X42" i="5"/>
  <c r="X87" i="5" s="1"/>
  <c r="X38" i="5"/>
  <c r="X36" i="5"/>
  <c r="X35" i="5"/>
  <c r="X34" i="5"/>
  <c r="X33" i="5"/>
  <c r="X32" i="5"/>
  <c r="X26" i="5"/>
  <c r="X70" i="5" s="1"/>
  <c r="X25" i="5"/>
  <c r="X24" i="5"/>
  <c r="X23" i="5"/>
  <c r="X22" i="5"/>
  <c r="X21" i="5"/>
  <c r="X20" i="5"/>
  <c r="X19" i="5"/>
  <c r="X18" i="5"/>
  <c r="X17" i="5"/>
  <c r="X13" i="5"/>
  <c r="X12" i="5"/>
  <c r="X11" i="5"/>
  <c r="X10" i="5"/>
  <c r="W44" i="5"/>
  <c r="V44" i="5"/>
  <c r="W27" i="5"/>
  <c r="V27" i="5"/>
  <c r="AC20" i="5" l="1"/>
  <c r="AC34" i="5"/>
  <c r="AC23" i="5"/>
  <c r="AC38" i="5"/>
  <c r="AC12" i="5"/>
  <c r="AC24" i="5"/>
  <c r="AC35" i="5"/>
  <c r="AB79" i="5"/>
  <c r="AC17" i="5"/>
  <c r="AC11" i="5"/>
  <c r="AB58" i="5"/>
  <c r="AB71" i="5"/>
  <c r="AC43" i="5"/>
  <c r="AB44" i="5"/>
  <c r="AB87" i="5"/>
  <c r="AB89" i="5" s="1"/>
  <c r="AC36" i="5"/>
  <c r="AC33" i="5"/>
  <c r="AC32" i="5"/>
  <c r="AC25" i="5"/>
  <c r="AC21" i="5"/>
  <c r="AC19" i="5"/>
  <c r="AB27" i="5"/>
  <c r="AC10" i="5"/>
  <c r="AC22" i="5"/>
  <c r="AA44" i="5"/>
  <c r="AC42" i="5"/>
  <c r="AC18" i="5"/>
  <c r="AB14" i="5"/>
  <c r="AC9" i="5"/>
  <c r="W14" i="5"/>
  <c r="W29" i="5" s="1"/>
  <c r="W37" i="5" s="1"/>
  <c r="W39" i="5" s="1"/>
  <c r="W46" i="5" s="1"/>
  <c r="V14" i="5"/>
  <c r="V29" i="5" s="1"/>
  <c r="V37" i="5" s="1"/>
  <c r="V39" i="5" s="1"/>
  <c r="V46" i="5" s="1"/>
  <c r="I69" i="5"/>
  <c r="G69" i="5"/>
  <c r="I67" i="5"/>
  <c r="G67" i="5"/>
  <c r="I56" i="5"/>
  <c r="G56" i="5"/>
  <c r="G13" i="5"/>
  <c r="G11" i="5"/>
  <c r="G55" i="5" s="1"/>
  <c r="I13" i="5"/>
  <c r="I11" i="5"/>
  <c r="I55" i="5" s="1"/>
  <c r="I68" i="5"/>
  <c r="G68" i="5"/>
  <c r="I26" i="5"/>
  <c r="I70" i="5" s="1"/>
  <c r="G26" i="5"/>
  <c r="AB73" i="5" l="1"/>
  <c r="AB82" i="5" s="1"/>
  <c r="AB84" i="5" s="1"/>
  <c r="AB91" i="5" s="1"/>
  <c r="AC44" i="5"/>
  <c r="AB29" i="5"/>
  <c r="AB37" i="5" s="1"/>
  <c r="AB39" i="5" s="1"/>
  <c r="AB46" i="5" s="1"/>
  <c r="X9" i="5"/>
  <c r="U101" i="5"/>
  <c r="AA101" i="5" l="1"/>
  <c r="Y101" i="5"/>
  <c r="X77" i="5"/>
  <c r="U77" i="5"/>
  <c r="T77" i="5"/>
  <c r="S77" i="5"/>
  <c r="P77" i="5"/>
  <c r="O77" i="5"/>
  <c r="N77" i="5"/>
  <c r="M77" i="5"/>
  <c r="K77" i="5"/>
  <c r="I77" i="5"/>
  <c r="G77" i="5"/>
  <c r="E77" i="5"/>
  <c r="Y33" i="5"/>
  <c r="Q33" i="5"/>
  <c r="AC101" i="5" l="1"/>
  <c r="AA63" i="5"/>
  <c r="AA64" i="5"/>
  <c r="AA62" i="5"/>
  <c r="AA54" i="5"/>
  <c r="AA61" i="5"/>
  <c r="AA66" i="5"/>
  <c r="AA67" i="5"/>
  <c r="AA68" i="5"/>
  <c r="AA65" i="5"/>
  <c r="AA79" i="5"/>
  <c r="AA80" i="5"/>
  <c r="AA83" i="5"/>
  <c r="AA69" i="5"/>
  <c r="AA77" i="5"/>
  <c r="AA55" i="5"/>
  <c r="AA78" i="5"/>
  <c r="AA53" i="5"/>
  <c r="AA87" i="5"/>
  <c r="AA76" i="5"/>
  <c r="AA56" i="5"/>
  <c r="AA88" i="5"/>
  <c r="M36" i="5"/>
  <c r="T56" i="5"/>
  <c r="AC83" i="5" l="1"/>
  <c r="AC64" i="5"/>
  <c r="AC78" i="5"/>
  <c r="AC66" i="5"/>
  <c r="AC62" i="5"/>
  <c r="AC69" i="5"/>
  <c r="AC77" i="5"/>
  <c r="AC55" i="5"/>
  <c r="AC80" i="5"/>
  <c r="AC54" i="5"/>
  <c r="AC68" i="5"/>
  <c r="AC65" i="5"/>
  <c r="AC61" i="5"/>
  <c r="AC88" i="5"/>
  <c r="AC67" i="5"/>
  <c r="AC56" i="5"/>
  <c r="AC87" i="5"/>
  <c r="AC53" i="5"/>
  <c r="AC76" i="5"/>
  <c r="AC63" i="5"/>
  <c r="AC79" i="5"/>
  <c r="AA89" i="5"/>
  <c r="T26" i="5"/>
  <c r="T70" i="5" s="1"/>
  <c r="AC89" i="5" l="1"/>
  <c r="P64" i="5"/>
  <c r="O64" i="5"/>
  <c r="N64" i="5"/>
  <c r="M64" i="5"/>
  <c r="S64" i="5" l="1"/>
  <c r="S53" i="5" l="1"/>
  <c r="S26" i="5" l="1"/>
  <c r="S13" i="5"/>
  <c r="AA13" i="5" s="1"/>
  <c r="S54" i="5"/>
  <c r="AA57" i="5" l="1"/>
  <c r="AA58" i="5" s="1"/>
  <c r="AA14" i="5"/>
  <c r="AC13" i="5"/>
  <c r="S70" i="5"/>
  <c r="AA26" i="5"/>
  <c r="K70" i="5"/>
  <c r="K13" i="5"/>
  <c r="P26" i="5"/>
  <c r="P70" i="5" s="1"/>
  <c r="O26" i="5"/>
  <c r="O70" i="5" s="1"/>
  <c r="N26" i="5"/>
  <c r="M26" i="5"/>
  <c r="K26" i="5"/>
  <c r="K24" i="5"/>
  <c r="K25" i="5"/>
  <c r="K23" i="5"/>
  <c r="M13" i="5"/>
  <c r="P13" i="5"/>
  <c r="P57" i="5" s="1"/>
  <c r="O13" i="5"/>
  <c r="O57" i="5" s="1"/>
  <c r="N13" i="5"/>
  <c r="AA70" i="5" l="1"/>
  <c r="AA71" i="5" s="1"/>
  <c r="AA73" i="5" s="1"/>
  <c r="AA82" i="5" s="1"/>
  <c r="AA84" i="5" s="1"/>
  <c r="AA91" i="5" s="1"/>
  <c r="AA27" i="5"/>
  <c r="AA29" i="5" s="1"/>
  <c r="AA37" i="5" s="1"/>
  <c r="AA39" i="5" s="1"/>
  <c r="AA46" i="5" s="1"/>
  <c r="AC26" i="5"/>
  <c r="AC57" i="5"/>
  <c r="AC58" i="5" s="1"/>
  <c r="AC14" i="5"/>
  <c r="X69" i="5"/>
  <c r="U69" i="5"/>
  <c r="T69" i="5"/>
  <c r="S69" i="5"/>
  <c r="P69" i="5"/>
  <c r="O69" i="5"/>
  <c r="N69" i="5"/>
  <c r="M69" i="5"/>
  <c r="K69" i="5"/>
  <c r="X68" i="5"/>
  <c r="U68" i="5"/>
  <c r="T68" i="5"/>
  <c r="S68" i="5"/>
  <c r="P68" i="5"/>
  <c r="O68" i="5"/>
  <c r="N68" i="5"/>
  <c r="M68" i="5"/>
  <c r="K68" i="5"/>
  <c r="X67" i="5"/>
  <c r="U67" i="5"/>
  <c r="T67" i="5"/>
  <c r="S67" i="5"/>
  <c r="P67" i="5"/>
  <c r="O67" i="5"/>
  <c r="N67" i="5"/>
  <c r="M67" i="5"/>
  <c r="K67" i="5"/>
  <c r="X66" i="5"/>
  <c r="U66" i="5"/>
  <c r="T66" i="5"/>
  <c r="S66" i="5"/>
  <c r="P66" i="5"/>
  <c r="O66" i="5"/>
  <c r="N66" i="5"/>
  <c r="M66" i="5"/>
  <c r="K66" i="5"/>
  <c r="X56" i="5"/>
  <c r="U56" i="5"/>
  <c r="S56" i="5"/>
  <c r="P56" i="5"/>
  <c r="O56" i="5"/>
  <c r="N56" i="5"/>
  <c r="M56" i="5"/>
  <c r="K56" i="5"/>
  <c r="X55" i="5"/>
  <c r="U55" i="5"/>
  <c r="T55" i="5"/>
  <c r="S55" i="5"/>
  <c r="P55" i="5"/>
  <c r="O55" i="5"/>
  <c r="N55" i="5"/>
  <c r="M55" i="5"/>
  <c r="K55" i="5"/>
  <c r="K54" i="5"/>
  <c r="X54" i="5"/>
  <c r="U54" i="5"/>
  <c r="T54" i="5"/>
  <c r="P54" i="5"/>
  <c r="O54" i="5"/>
  <c r="N54" i="5"/>
  <c r="M54" i="5"/>
  <c r="Y25" i="5"/>
  <c r="Y24" i="5"/>
  <c r="Y23" i="5"/>
  <c r="Y12" i="5"/>
  <c r="Y11" i="5"/>
  <c r="Q12" i="5"/>
  <c r="Q11" i="5"/>
  <c r="Q25" i="5"/>
  <c r="Q24" i="5"/>
  <c r="Q23" i="5"/>
  <c r="AC70" i="5" l="1"/>
  <c r="AC71" i="5" s="1"/>
  <c r="AC73" i="5" s="1"/>
  <c r="AC82" i="5" s="1"/>
  <c r="AC84" i="5" s="1"/>
  <c r="AC91" i="5" s="1"/>
  <c r="AC27" i="5"/>
  <c r="AC29" i="5" s="1"/>
  <c r="AC37" i="5" s="1"/>
  <c r="AC39" i="5" s="1"/>
  <c r="AC46" i="5" s="1"/>
  <c r="X109" i="5"/>
  <c r="U109" i="5"/>
  <c r="T109" i="5"/>
  <c r="Y102" i="5"/>
  <c r="Q102" i="5"/>
  <c r="Q101" i="5"/>
  <c r="Q68" i="5" s="1"/>
  <c r="U88" i="5"/>
  <c r="T88" i="5"/>
  <c r="S88" i="5"/>
  <c r="O88" i="5"/>
  <c r="N88" i="5"/>
  <c r="M88" i="5"/>
  <c r="K88" i="5"/>
  <c r="K89" i="5" s="1"/>
  <c r="I88" i="5"/>
  <c r="G88" i="5"/>
  <c r="E88" i="5"/>
  <c r="U87" i="5"/>
  <c r="T87" i="5"/>
  <c r="S87" i="5"/>
  <c r="P87" i="5"/>
  <c r="O87" i="5"/>
  <c r="N87" i="5"/>
  <c r="M87" i="5"/>
  <c r="K87" i="5"/>
  <c r="I87" i="5"/>
  <c r="G87" i="5"/>
  <c r="E87" i="5"/>
  <c r="X83" i="5"/>
  <c r="U83" i="5"/>
  <c r="T83" i="5"/>
  <c r="S83" i="5"/>
  <c r="P83" i="5"/>
  <c r="O83" i="5"/>
  <c r="N83" i="5"/>
  <c r="M83" i="5"/>
  <c r="K83" i="5"/>
  <c r="I83" i="5"/>
  <c r="G83" i="5"/>
  <c r="E83" i="5"/>
  <c r="X80" i="5"/>
  <c r="U80" i="5"/>
  <c r="T80" i="5"/>
  <c r="S80" i="5"/>
  <c r="O80" i="5"/>
  <c r="N80" i="5"/>
  <c r="M80" i="5"/>
  <c r="K80" i="5"/>
  <c r="I80" i="5"/>
  <c r="G80" i="5"/>
  <c r="X79" i="5"/>
  <c r="U79" i="5"/>
  <c r="T79" i="5"/>
  <c r="S79" i="5"/>
  <c r="P79" i="5"/>
  <c r="O79" i="5"/>
  <c r="N79" i="5"/>
  <c r="M79" i="5"/>
  <c r="K79" i="5"/>
  <c r="I79" i="5"/>
  <c r="G79" i="5"/>
  <c r="E79" i="5"/>
  <c r="X78" i="5"/>
  <c r="U78" i="5"/>
  <c r="T78" i="5"/>
  <c r="S78" i="5"/>
  <c r="P78" i="5"/>
  <c r="O78" i="5"/>
  <c r="N78" i="5"/>
  <c r="M78" i="5"/>
  <c r="K78" i="5"/>
  <c r="I78" i="5"/>
  <c r="G78" i="5"/>
  <c r="E78" i="5"/>
  <c r="X76" i="5"/>
  <c r="U76" i="5"/>
  <c r="T76" i="5"/>
  <c r="S76" i="5"/>
  <c r="P76" i="5"/>
  <c r="O76" i="5"/>
  <c r="N76" i="5"/>
  <c r="M76" i="5"/>
  <c r="K76" i="5"/>
  <c r="I76" i="5"/>
  <c r="G76" i="5"/>
  <c r="E76" i="5"/>
  <c r="U70" i="5"/>
  <c r="N70" i="5"/>
  <c r="M70" i="5"/>
  <c r="G70" i="5"/>
  <c r="I66" i="5"/>
  <c r="G66" i="5"/>
  <c r="E66" i="5"/>
  <c r="X65" i="5"/>
  <c r="U65" i="5"/>
  <c r="T65" i="5"/>
  <c r="S65" i="5"/>
  <c r="P65" i="5"/>
  <c r="O65" i="5"/>
  <c r="N65" i="5"/>
  <c r="M65" i="5"/>
  <c r="K65" i="5"/>
  <c r="I65" i="5"/>
  <c r="G65" i="5"/>
  <c r="E65" i="5"/>
  <c r="E64" i="5"/>
  <c r="X63" i="5"/>
  <c r="U63" i="5"/>
  <c r="T63" i="5"/>
  <c r="S63" i="5"/>
  <c r="P63" i="5"/>
  <c r="O63" i="5"/>
  <c r="N63" i="5"/>
  <c r="M63" i="5"/>
  <c r="K63" i="5"/>
  <c r="I63" i="5"/>
  <c r="G63" i="5"/>
  <c r="E63" i="5"/>
  <c r="X62" i="5"/>
  <c r="U62" i="5"/>
  <c r="T62" i="5"/>
  <c r="S62" i="5"/>
  <c r="P62" i="5"/>
  <c r="N62" i="5"/>
  <c r="M62" i="5"/>
  <c r="K62" i="5"/>
  <c r="I62" i="5"/>
  <c r="X61" i="5"/>
  <c r="U61" i="5"/>
  <c r="T61" i="5"/>
  <c r="S61" i="5"/>
  <c r="P61" i="5"/>
  <c r="O61" i="5"/>
  <c r="N61" i="5"/>
  <c r="M61" i="5"/>
  <c r="K61" i="5"/>
  <c r="I61" i="5"/>
  <c r="G61" i="5"/>
  <c r="E61" i="5"/>
  <c r="X57" i="5"/>
  <c r="U57" i="5"/>
  <c r="T57" i="5"/>
  <c r="S57" i="5"/>
  <c r="S58" i="5" s="1"/>
  <c r="N57" i="5"/>
  <c r="M57" i="5"/>
  <c r="K57" i="5"/>
  <c r="I57" i="5"/>
  <c r="G57" i="5"/>
  <c r="E57" i="5"/>
  <c r="I54" i="5"/>
  <c r="G54" i="5"/>
  <c r="E54" i="5"/>
  <c r="X53" i="5"/>
  <c r="U53" i="5"/>
  <c r="T53" i="5"/>
  <c r="P53" i="5"/>
  <c r="P58" i="5" s="1"/>
  <c r="O53" i="5"/>
  <c r="O58" i="5" s="1"/>
  <c r="N53" i="5"/>
  <c r="M53" i="5"/>
  <c r="K53" i="5"/>
  <c r="I53" i="5"/>
  <c r="G53" i="5"/>
  <c r="E53" i="5"/>
  <c r="Y51" i="5"/>
  <c r="X51" i="5"/>
  <c r="U51" i="5"/>
  <c r="T51" i="5"/>
  <c r="S51" i="5"/>
  <c r="Q51" i="5"/>
  <c r="P51" i="5"/>
  <c r="O51" i="5"/>
  <c r="N51" i="5"/>
  <c r="M51" i="5"/>
  <c r="K51" i="5"/>
  <c r="I51" i="5"/>
  <c r="X44" i="5"/>
  <c r="U44" i="5"/>
  <c r="T44" i="5"/>
  <c r="S44" i="5"/>
  <c r="O44" i="5"/>
  <c r="N44" i="5"/>
  <c r="M44" i="5"/>
  <c r="K44" i="5"/>
  <c r="I44" i="5"/>
  <c r="G44" i="5"/>
  <c r="E44" i="5"/>
  <c r="Y43" i="5"/>
  <c r="P43" i="5"/>
  <c r="P88" i="5" s="1"/>
  <c r="Y42" i="5"/>
  <c r="Y87" i="5" s="1"/>
  <c r="Q42" i="5"/>
  <c r="Y38" i="5"/>
  <c r="Q38" i="5"/>
  <c r="Y36" i="5"/>
  <c r="Y80" i="5" s="1"/>
  <c r="P36" i="5"/>
  <c r="Q36" i="5" s="1"/>
  <c r="E36" i="5"/>
  <c r="E80" i="5" s="1"/>
  <c r="Y35" i="5"/>
  <c r="Q35" i="5"/>
  <c r="Y34" i="5"/>
  <c r="Q34" i="5"/>
  <c r="Y32" i="5"/>
  <c r="Q32" i="5"/>
  <c r="X27" i="5"/>
  <c r="X105" i="5" s="1"/>
  <c r="U27" i="5"/>
  <c r="U105" i="5" s="1"/>
  <c r="T27" i="5"/>
  <c r="T105" i="5" s="1"/>
  <c r="S27" i="5"/>
  <c r="P27" i="5"/>
  <c r="N27" i="5"/>
  <c r="M27" i="5"/>
  <c r="K27" i="5"/>
  <c r="I27" i="5"/>
  <c r="Y26" i="5"/>
  <c r="E26" i="5"/>
  <c r="E70" i="5" s="1"/>
  <c r="Y22" i="5"/>
  <c r="Q22" i="5"/>
  <c r="Y21" i="5"/>
  <c r="Q21" i="5"/>
  <c r="Y20" i="5"/>
  <c r="Q20" i="5"/>
  <c r="Y19" i="5"/>
  <c r="Q19" i="5"/>
  <c r="Y18" i="5"/>
  <c r="O18" i="5"/>
  <c r="O27" i="5" s="1"/>
  <c r="G18" i="5"/>
  <c r="G62" i="5" s="1"/>
  <c r="E18" i="5"/>
  <c r="E62" i="5" s="1"/>
  <c r="Y17" i="5"/>
  <c r="Q17" i="5"/>
  <c r="X14" i="5"/>
  <c r="U14" i="5"/>
  <c r="U104" i="5" s="1"/>
  <c r="T14" i="5"/>
  <c r="S14" i="5"/>
  <c r="P14" i="5"/>
  <c r="O14" i="5"/>
  <c r="N14" i="5"/>
  <c r="M14" i="5"/>
  <c r="K14" i="5"/>
  <c r="I14" i="5"/>
  <c r="G14" i="5"/>
  <c r="E14" i="5"/>
  <c r="Y13" i="5"/>
  <c r="Q13" i="5"/>
  <c r="Y10" i="5"/>
  <c r="Q10" i="5"/>
  <c r="Y9" i="5"/>
  <c r="Q9" i="5"/>
  <c r="O89" i="5" l="1"/>
  <c r="Q64" i="5"/>
  <c r="Q79" i="5"/>
  <c r="S89" i="5"/>
  <c r="S71" i="5"/>
  <c r="S73" i="5" s="1"/>
  <c r="S82" i="5" s="1"/>
  <c r="N58" i="5"/>
  <c r="X71" i="5"/>
  <c r="G89" i="5"/>
  <c r="T89" i="5"/>
  <c r="E89" i="5"/>
  <c r="Q57" i="5"/>
  <c r="P71" i="5"/>
  <c r="P73" i="5" s="1"/>
  <c r="Q53" i="5"/>
  <c r="Q87" i="5"/>
  <c r="I29" i="5"/>
  <c r="I37" i="5" s="1"/>
  <c r="O62" i="5"/>
  <c r="O71" i="5" s="1"/>
  <c r="O73" i="5" s="1"/>
  <c r="K71" i="5"/>
  <c r="Q43" i="5"/>
  <c r="Q88" i="5" s="1"/>
  <c r="Q69" i="5"/>
  <c r="Q77" i="5"/>
  <c r="Y77" i="5"/>
  <c r="M58" i="5"/>
  <c r="U71" i="5"/>
  <c r="Y64" i="5"/>
  <c r="E27" i="5"/>
  <c r="E29" i="5" s="1"/>
  <c r="E37" i="5" s="1"/>
  <c r="G71" i="5"/>
  <c r="Q65" i="5"/>
  <c r="P89" i="5"/>
  <c r="I71" i="5"/>
  <c r="I89" i="5"/>
  <c r="Q66" i="5"/>
  <c r="U29" i="5"/>
  <c r="Q80" i="5"/>
  <c r="I58" i="5"/>
  <c r="M71" i="5"/>
  <c r="X89" i="5"/>
  <c r="Q67" i="5"/>
  <c r="T71" i="5"/>
  <c r="Q83" i="5"/>
  <c r="Q54" i="5"/>
  <c r="X29" i="5"/>
  <c r="X37" i="5" s="1"/>
  <c r="Q76" i="5"/>
  <c r="P44" i="5"/>
  <c r="M89" i="5"/>
  <c r="Q56" i="5"/>
  <c r="Q18" i="5"/>
  <c r="Q62" i="5" s="1"/>
  <c r="Q61" i="5"/>
  <c r="Q63" i="5"/>
  <c r="E58" i="5"/>
  <c r="T58" i="5"/>
  <c r="N89" i="5"/>
  <c r="Q55" i="5"/>
  <c r="Q78" i="5"/>
  <c r="G58" i="5"/>
  <c r="E71" i="5"/>
  <c r="T29" i="5"/>
  <c r="T37" i="5" s="1"/>
  <c r="X58" i="5"/>
  <c r="U89" i="5"/>
  <c r="Y57" i="5"/>
  <c r="Y78" i="5"/>
  <c r="Y44" i="5"/>
  <c r="Y76" i="5"/>
  <c r="S29" i="5"/>
  <c r="S37" i="5" s="1"/>
  <c r="Y79" i="5"/>
  <c r="Y53" i="5"/>
  <c r="Y88" i="5"/>
  <c r="Y89" i="5" s="1"/>
  <c r="Y62" i="5"/>
  <c r="Y63" i="5"/>
  <c r="Y65" i="5"/>
  <c r="Y61" i="5"/>
  <c r="Y70" i="5"/>
  <c r="Y83" i="5"/>
  <c r="U58" i="5"/>
  <c r="Y109" i="5"/>
  <c r="Y69" i="5"/>
  <c r="Y56" i="5"/>
  <c r="Y55" i="5"/>
  <c r="Y68" i="5"/>
  <c r="Y67" i="5"/>
  <c r="Y66" i="5"/>
  <c r="Y54" i="5"/>
  <c r="N71" i="5"/>
  <c r="M29" i="5"/>
  <c r="M37" i="5" s="1"/>
  <c r="O29" i="5"/>
  <c r="O37" i="5" s="1"/>
  <c r="N29" i="5"/>
  <c r="P29" i="5"/>
  <c r="K58" i="5"/>
  <c r="K73" i="5" s="1"/>
  <c r="K29" i="5"/>
  <c r="K37" i="5" s="1"/>
  <c r="Y27" i="5"/>
  <c r="Y105" i="5" s="1"/>
  <c r="T104" i="5"/>
  <c r="Y14" i="5"/>
  <c r="G27" i="5"/>
  <c r="P80" i="5"/>
  <c r="X104" i="5"/>
  <c r="Q14" i="5"/>
  <c r="Q26" i="5"/>
  <c r="Q70" i="5" s="1"/>
  <c r="Q44" i="5"/>
  <c r="P25" i="2"/>
  <c r="O25" i="2"/>
  <c r="N25" i="2"/>
  <c r="M25" i="2"/>
  <c r="L25" i="2"/>
  <c r="P18" i="2"/>
  <c r="O18" i="2"/>
  <c r="N18" i="2"/>
  <c r="M18" i="2"/>
  <c r="L18" i="2"/>
  <c r="P13" i="2"/>
  <c r="P27" i="2" s="1"/>
  <c r="O13" i="2"/>
  <c r="O27" i="2" s="1"/>
  <c r="N13" i="2"/>
  <c r="M13" i="2"/>
  <c r="L13" i="2"/>
  <c r="J25" i="2"/>
  <c r="J18" i="2"/>
  <c r="J13" i="2"/>
  <c r="J27" i="2" s="1"/>
  <c r="N27" i="2" l="1"/>
  <c r="U73" i="5"/>
  <c r="U82" i="5" s="1"/>
  <c r="Y71" i="5"/>
  <c r="Y58" i="5"/>
  <c r="Y73" i="5" s="1"/>
  <c r="P82" i="5"/>
  <c r="M73" i="5"/>
  <c r="M82" i="5" s="1"/>
  <c r="M84" i="5" s="1"/>
  <c r="M91" i="5" s="1"/>
  <c r="E73" i="5"/>
  <c r="E82" i="5" s="1"/>
  <c r="E84" i="5" s="1"/>
  <c r="E91" i="5" s="1"/>
  <c r="Q89" i="5"/>
  <c r="G73" i="5"/>
  <c r="G82" i="5" s="1"/>
  <c r="G84" i="5" s="1"/>
  <c r="G91" i="5" s="1"/>
  <c r="X106" i="5"/>
  <c r="N37" i="5"/>
  <c r="N39" i="5" s="1"/>
  <c r="N46" i="5" s="1"/>
  <c r="P37" i="5"/>
  <c r="P39" i="5" s="1"/>
  <c r="P46" i="5" s="1"/>
  <c r="T106" i="5"/>
  <c r="O82" i="5"/>
  <c r="O84" i="5" s="1"/>
  <c r="O91" i="5" s="1"/>
  <c r="K82" i="5"/>
  <c r="K84" i="5" s="1"/>
  <c r="K91" i="5" s="1"/>
  <c r="U84" i="5"/>
  <c r="U91" i="5" s="1"/>
  <c r="U106" i="5"/>
  <c r="U37" i="5"/>
  <c r="U107" i="5" s="1"/>
  <c r="Q71" i="5"/>
  <c r="Q58" i="5"/>
  <c r="X73" i="5"/>
  <c r="X82" i="5" s="1"/>
  <c r="L27" i="2"/>
  <c r="I73" i="5"/>
  <c r="M27" i="2"/>
  <c r="T73" i="5"/>
  <c r="N73" i="5"/>
  <c r="N82" i="5" s="1"/>
  <c r="N84" i="5" s="1"/>
  <c r="N91" i="5" s="1"/>
  <c r="S84" i="5"/>
  <c r="S91" i="5" s="1"/>
  <c r="K39" i="5"/>
  <c r="S39" i="5"/>
  <c r="I39" i="5"/>
  <c r="X107" i="5"/>
  <c r="X39" i="5"/>
  <c r="Y29" i="5"/>
  <c r="Y37" i="5" s="1"/>
  <c r="Y104" i="5"/>
  <c r="E39" i="5"/>
  <c r="T107" i="5"/>
  <c r="T39" i="5"/>
  <c r="G29" i="5"/>
  <c r="G37" i="5" s="1"/>
  <c r="M39" i="5"/>
  <c r="P84" i="5"/>
  <c r="P91" i="5" s="1"/>
  <c r="Q27" i="5"/>
  <c r="O39" i="5"/>
  <c r="X84" i="5" l="1"/>
  <c r="X91" i="5" s="1"/>
  <c r="Q73" i="5"/>
  <c r="T82" i="5"/>
  <c r="T84" i="5" s="1"/>
  <c r="T91" i="5" s="1"/>
  <c r="I82" i="5"/>
  <c r="I84" i="5" s="1"/>
  <c r="I91" i="5" s="1"/>
  <c r="Y82" i="5"/>
  <c r="U39" i="5"/>
  <c r="U46" i="5" s="1"/>
  <c r="U110" i="5" s="1"/>
  <c r="Q29" i="5"/>
  <c r="Q37" i="5" s="1"/>
  <c r="O46" i="5"/>
  <c r="K46" i="5"/>
  <c r="I46" i="5"/>
  <c r="X108" i="5"/>
  <c r="X46" i="5"/>
  <c r="Y106" i="5"/>
  <c r="E46" i="5"/>
  <c r="S46" i="5"/>
  <c r="M46" i="5"/>
  <c r="T46" i="5"/>
  <c r="T110" i="5" s="1"/>
  <c r="T108" i="5"/>
  <c r="H28" i="3"/>
  <c r="F27" i="3"/>
  <c r="X110" i="5" l="1"/>
  <c r="Q82" i="5"/>
  <c r="Q84" i="5" s="1"/>
  <c r="Q91" i="5" s="1"/>
  <c r="U108" i="5"/>
  <c r="Y84" i="5"/>
  <c r="Y91" i="5" s="1"/>
  <c r="Y39" i="5"/>
  <c r="Y107" i="5"/>
  <c r="G39" i="5"/>
  <c r="Q39" i="5" l="1"/>
  <c r="Q46" i="5" s="1"/>
  <c r="Y108" i="5"/>
  <c r="Y46" i="5"/>
  <c r="G46" i="5"/>
  <c r="W25" i="2"/>
  <c r="W18" i="2"/>
  <c r="W13" i="2"/>
  <c r="Y110" i="5" l="1"/>
  <c r="W27" i="2"/>
  <c r="T25" i="2" l="1"/>
  <c r="T18" i="2"/>
  <c r="T13" i="2"/>
  <c r="T27" i="2" l="1"/>
  <c r="Z25" i="2" l="1"/>
  <c r="Z18" i="2"/>
  <c r="Z13" i="2"/>
  <c r="S25" i="2"/>
  <c r="S18" i="2"/>
  <c r="S13" i="2"/>
  <c r="Z27" i="2" l="1"/>
  <c r="S27" i="2"/>
  <c r="R25" i="2" l="1"/>
  <c r="R18" i="2"/>
  <c r="R13" i="2"/>
  <c r="R27" i="2" l="1"/>
  <c r="J28" i="3" l="1"/>
  <c r="H25" i="2" l="1"/>
  <c r="H18" i="2"/>
  <c r="H13" i="2"/>
  <c r="H27" i="2" l="1"/>
  <c r="F25" i="2" l="1"/>
  <c r="F18" i="2"/>
  <c r="F13" i="2"/>
  <c r="F27" i="2" l="1"/>
  <c r="D28" i="3" l="1"/>
  <c r="D27" i="3" l="1"/>
  <c r="H27" i="3" l="1"/>
  <c r="J27" i="3" l="1"/>
  <c r="H29" i="3"/>
  <c r="J24" i="3"/>
  <c r="H24" i="3"/>
  <c r="F24" i="3"/>
  <c r="D24" i="3"/>
  <c r="J19" i="3"/>
  <c r="H19" i="3"/>
  <c r="F19" i="3"/>
  <c r="D19" i="3"/>
  <c r="J14" i="3"/>
  <c r="H14" i="3"/>
  <c r="F14" i="3"/>
  <c r="D14" i="3"/>
  <c r="L23" i="3"/>
  <c r="L22" i="3"/>
  <c r="L18" i="3"/>
  <c r="L17" i="3"/>
  <c r="L13" i="3"/>
  <c r="L12" i="3"/>
  <c r="D25" i="2"/>
  <c r="D18" i="2"/>
  <c r="D13" i="2"/>
  <c r="D27" i="2" l="1"/>
  <c r="J29" i="3"/>
  <c r="D29" i="3"/>
  <c r="L28" i="3"/>
  <c r="F29" i="3"/>
  <c r="L27" i="3"/>
  <c r="L24" i="3"/>
  <c r="L19" i="3"/>
  <c r="L14" i="3"/>
  <c r="L29" i="3" l="1"/>
</calcChain>
</file>

<file path=xl/sharedStrings.xml><?xml version="1.0" encoding="utf-8"?>
<sst xmlns="http://schemas.openxmlformats.org/spreadsheetml/2006/main" count="181" uniqueCount="93">
  <si>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</si>
  <si>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</si>
  <si>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</si>
  <si>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</si>
  <si>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</si>
  <si>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</si>
  <si>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</si>
  <si>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</si>
  <si>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</si>
  <si>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</si>
  <si>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</si>
  <si>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</si>
  <si>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</si>
  <si>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</si>
  <si>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</si>
  <si>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</si>
  <si>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Sales Volume MBOE</t>
  </si>
  <si>
    <t xml:space="preserve">   Total</t>
  </si>
  <si>
    <t xml:space="preserve">Production Volume </t>
  </si>
  <si>
    <t>Proved Developed Reserves</t>
  </si>
  <si>
    <t>Proved Undeveloped Reserves</t>
  </si>
  <si>
    <t>Interest and debt expense, net</t>
  </si>
  <si>
    <t xml:space="preserve"> </t>
  </si>
  <si>
    <t>Income tax benefit</t>
  </si>
  <si>
    <t>Costs and Other</t>
  </si>
  <si>
    <t xml:space="preserve">   Total costs and other</t>
  </si>
  <si>
    <t>Revenues and Other</t>
  </si>
  <si>
    <t xml:space="preserve">  Other revenue</t>
  </si>
  <si>
    <t xml:space="preserve">  Production costs</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</si>
  <si>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</si>
  <si>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</si>
  <si>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</si>
  <si>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</si>
  <si>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</si>
  <si>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</si>
  <si>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</si>
  <si>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</si>
  <si>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t>Non-Operating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</si>
  <si>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</si>
  <si>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</si>
  <si>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</si>
  <si>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</si>
  <si>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r>
      <t>Consolidated Statements of Operations (in millions)</t>
    </r>
    <r>
      <rPr>
        <b/>
        <sz val="12"/>
        <rFont val="Arial"/>
        <family val="2"/>
      </rPr>
      <t>:</t>
    </r>
  </si>
  <si>
    <t xml:space="preserve">  Oil and gas sales</t>
  </si>
  <si>
    <r>
      <t>Consolidated Statements of Operations ($/BOE)</t>
    </r>
    <r>
      <rPr>
        <b/>
        <sz val="12"/>
        <rFont val="Arial"/>
        <family val="2"/>
      </rPr>
      <t>:</t>
    </r>
  </si>
  <si>
    <t xml:space="preserve">     reported as expense as opposed to being netted against revenue.  The adoption of this standard does not affect net income.   </t>
  </si>
  <si>
    <t xml:space="preserve">  Net derivative (loss) gain from commodity contracts</t>
  </si>
  <si>
    <t>Gain on asset divestitures</t>
  </si>
  <si>
    <t>Net gain on early extinguishment of debt</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</si>
  <si>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</si>
  <si>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</si>
  <si>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</si>
  <si>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</si>
  <si>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</si>
  <si>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1Q 2019</t>
  </si>
  <si>
    <t>2Q 2019</t>
  </si>
  <si>
    <t>3Q 2019</t>
  </si>
  <si>
    <t>4Q 2019</t>
  </si>
  <si>
    <t xml:space="preserve">  Mezzanine equity</t>
  </si>
  <si>
    <t xml:space="preserve">  Equity</t>
  </si>
  <si>
    <t>Net (Income) Loss Attributable to Noncontrolling Interests</t>
  </si>
  <si>
    <t>Net income attributable to noncontrolling interests</t>
  </si>
  <si>
    <t>Income tax benefit (loss)</t>
  </si>
  <si>
    <t>Net Production Statistics:</t>
  </si>
  <si>
    <t>At December 31, 2019</t>
  </si>
  <si>
    <t>1Q 2020</t>
  </si>
  <si>
    <t>2Q 2020</t>
  </si>
  <si>
    <t>3Q 2020</t>
  </si>
  <si>
    <t>4Q 2020</t>
  </si>
  <si>
    <t xml:space="preserve">  Marketing and trading</t>
  </si>
  <si>
    <t xml:space="preserve">  Oil and natural gas sales</t>
  </si>
  <si>
    <t>Revenues</t>
  </si>
  <si>
    <t xml:space="preserve">  Electricity sales</t>
  </si>
  <si>
    <t xml:space="preserve">   Elk Hills Power Costs</t>
  </si>
  <si>
    <t>Reorganization items, net</t>
  </si>
  <si>
    <r>
      <t xml:space="preserve">Other non-operating expenses </t>
    </r>
    <r>
      <rPr>
        <vertAlign val="superscript"/>
        <sz val="10"/>
        <rFont val="Arial"/>
        <family val="2"/>
      </rPr>
      <t>(b)</t>
    </r>
  </si>
  <si>
    <r>
      <t xml:space="preserve">   Total revenues and other </t>
    </r>
    <r>
      <rPr>
        <vertAlign val="superscript"/>
        <sz val="10"/>
        <rFont val="Arial"/>
        <family val="2"/>
      </rPr>
      <t>(a)</t>
    </r>
  </si>
  <si>
    <r>
      <t xml:space="preserve">   Total revenues </t>
    </r>
    <r>
      <rPr>
        <vertAlign val="superscript"/>
        <sz val="10"/>
        <rFont val="Arial"/>
        <family val="2"/>
      </rPr>
      <t>(a)</t>
    </r>
  </si>
  <si>
    <r>
      <t xml:space="preserve">  General and administrative expenses </t>
    </r>
    <r>
      <rPr>
        <vertAlign val="superscript"/>
        <sz val="10"/>
        <rFont val="Arial"/>
        <family val="2"/>
      </rPr>
      <t>(b)</t>
    </r>
  </si>
  <si>
    <t>(a)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</si>
  <si>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(b) The non-service cost component of net benefit cost related to CRC's pension and postretirement benefit plans have been reclassified from general and administrative expenses to other non-operating expenses as a result of the adoption of ASU 2017-07 on January 1, 2018. </t>
  </si>
  <si>
    <r>
      <t xml:space="preserve">  Trading purchases </t>
    </r>
    <r>
      <rPr>
        <vertAlign val="superscript"/>
        <sz val="10"/>
        <rFont val="Arial"/>
        <family val="2"/>
      </rPr>
      <t>(a)</t>
    </r>
  </si>
  <si>
    <r>
      <t xml:space="preserve">  Transportation costs </t>
    </r>
    <r>
      <rPr>
        <vertAlign val="superscript"/>
        <sz val="10"/>
        <rFont val="Arial"/>
        <family val="2"/>
      </rPr>
      <t>(a)</t>
    </r>
  </si>
  <si>
    <t xml:space="preserve">  Other expenses, net</t>
  </si>
  <si>
    <t>NOV &amp; DEC</t>
  </si>
  <si>
    <t>OCT</t>
  </si>
  <si>
    <t>TY 2020</t>
  </si>
  <si>
    <t>10 MOS</t>
  </si>
  <si>
    <t>2 MOS</t>
  </si>
  <si>
    <t>Predecessor</t>
  </si>
  <si>
    <t>Successor</t>
  </si>
  <si>
    <t>Combined</t>
  </si>
  <si>
    <t>(Non-GAAP)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</si>
</sst>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1" formatCode="_(* #,##0_);_(* \(#,##0\);_(* &quot;-&quot;_);_(@_)"/>
    <numFmt numFmtId="43" formatCode="_(* #,##0.00_);_(* \(#,##0.00\);_(* &quot;-&quot;??_);_(@_)"/>
    <numFmt numFmtId="164" formatCode="_(* #,##0.0000_);_(* \(#,##0.0000\);_(* &quot;-&quot;??_);_(@_)"/>
    <numFmt numFmtId="165" formatCode="_(&quot;$&quot;* #,##0.00_);_(&quot;$&quot;* \(#,##0.00\);_(&quot;$&quot;* &quot;-&quot;_);_(@_)"/>
    <numFmt numFmtId="166" formatCode="_(* #,##0.00_);_(* \(#,##0.00\);_(* &quot;-&quot;_);_(@_)"/>
    <numFmt numFmtId="167" formatCode="_(* #,##0.0_);_(* \(#,##0.0\);_(* &quot;-&quot;??_);_(@_)"/>
    <numFmt numFmtId="168" formatCode="_(* #,##0.0_);_(* \(#,##0.0\);_(* &quot;-&quot;_);_(@_)"/>
    <numFmt numFmtId="169" formatCode="_(* #,##0.0_);_(* \(#,##0.0\);_(* &quot;-&quot;?_);_(@_)"/>
  </numFmts>
  <fonts count="14"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s>
  <fills count="3">
    <fill>
      <patternFill patternType="none"/>
    </fill>
    <fill>
      <patternFill patternType="gray125"/>
    </fill>
    <fill>
      <patternFill patternType="solid">
        <fgColor rgb="FFFFFF00"/>
        <bgColor indexed="64"/>
      </patternFill>
    </fill>
  </fills>
  <borders count="24">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
      <left/>
      <right style="thick">
        <color indexed="64"/>
      </right>
      <top/>
      <bottom/>
      <diagonal/>
    </border>
    <border>
      <left/>
      <right style="thick">
        <color indexed="64"/>
      </right>
      <top/>
      <bottom style="double">
        <color indexed="64"/>
      </bottom>
      <diagonal/>
    </border>
    <border>
      <left/>
      <right style="thick">
        <color indexed="64"/>
      </right>
      <top/>
      <bottom style="thin">
        <color indexed="64"/>
      </bottom>
      <diagonal/>
    </border>
    <border>
      <left/>
      <right style="thick">
        <color indexed="64"/>
      </right>
      <top style="thin">
        <color auto="1"/>
      </top>
      <bottom style="thin">
        <color auto="1"/>
      </bottom>
      <diagonal/>
    </border>
    <border>
      <left/>
      <right style="thick">
        <color indexed="64"/>
      </right>
      <top style="thin">
        <color indexed="64"/>
      </top>
      <bottom/>
      <diagonal/>
    </border>
    <border>
      <left/>
      <right style="thick">
        <color indexed="64"/>
      </right>
      <top style="thin">
        <color auto="1"/>
      </top>
      <bottom style="double">
        <color indexed="64"/>
      </bottom>
      <diagonal/>
    </border>
    <border>
      <left/>
      <right style="medium">
        <color auto="1"/>
      </right>
      <top/>
      <bottom/>
      <diagonal/>
    </border>
    <border>
      <left/>
      <right style="medium">
        <color auto="1"/>
      </right>
      <top/>
      <bottom style="double">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thin">
        <color indexed="64"/>
      </top>
      <bottom/>
      <diagonal/>
    </border>
    <border>
      <left/>
      <right style="medium">
        <color auto="1"/>
      </right>
      <top style="thin">
        <color auto="1"/>
      </top>
      <bottom style="double">
        <color indexed="64"/>
      </bottom>
      <diagonal/>
    </border>
    <border>
      <left style="medium">
        <color auto="1"/>
      </left>
      <right/>
      <top/>
      <bottom/>
      <diagonal/>
    </border>
    <border>
      <left style="medium">
        <color auto="1"/>
      </left>
      <right/>
      <top/>
      <bottom style="double">
        <color indexed="64"/>
      </bottom>
      <diagonal/>
    </border>
    <border>
      <left style="medium">
        <color auto="1"/>
      </left>
      <right/>
      <top/>
      <bottom style="thin">
        <color indexed="64"/>
      </bottom>
      <diagonal/>
    </border>
    <border>
      <left style="medium">
        <color auto="1"/>
      </left>
      <right/>
      <top style="thin">
        <color auto="1"/>
      </top>
      <bottom style="thin">
        <color auto="1"/>
      </bottom>
      <diagonal/>
    </border>
    <border>
      <left style="medium">
        <color auto="1"/>
      </left>
      <right/>
      <top style="thin">
        <color indexed="64"/>
      </top>
      <bottom/>
      <diagonal/>
    </border>
    <border>
      <left style="medium">
        <color auto="1"/>
      </left>
      <right/>
      <top style="thin">
        <color auto="1"/>
      </top>
      <bottom style="double">
        <color indexed="64"/>
      </bottom>
      <diagonal/>
    </border>
  </borders>
  <cellStyleXfs count="2">
    <xf numFmtId="0" fontId="0" fillId="0" borderId="0"/>
    <xf numFmtId="43" fontId="6" fillId="0" borderId="0" applyFont="0" applyFill="0" applyBorder="0" applyAlignment="0" applyProtection="0"/>
  </cellStyleXfs>
  <cellXfs count="164">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0" fillId="0" borderId="0" xfId="0" applyNumberForma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166"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6"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165" fontId="3" fillId="0" borderId="0" xfId="0" applyNumberFormat="1" applyFont="1" applyFill="1" applyAlignment="1"/>
    <xf numFmtId="0" fontId="0" fillId="2" borderId="0" xfId="0" applyFill="1"/>
    <xf numFmtId="166" fontId="0" fillId="2" borderId="0" xfId="0" applyNumberFormat="1" applyFill="1"/>
    <xf numFmtId="167" fontId="0" fillId="2" borderId="0" xfId="1" applyNumberFormat="1" applyFont="1" applyFill="1"/>
    <xf numFmtId="168" fontId="0" fillId="2" borderId="0" xfId="0" applyNumberFormat="1" applyFill="1"/>
    <xf numFmtId="43" fontId="0" fillId="2" borderId="0" xfId="0" applyNumberFormat="1" applyFill="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41" fontId="0" fillId="0" borderId="3" xfId="0" applyNumberFormat="1" applyFont="1" applyBorder="1"/>
    <xf numFmtId="165"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5" fontId="3" fillId="0" borderId="2" xfId="0" applyNumberFormat="1" applyFont="1" applyFill="1" applyBorder="1" applyAlignment="1"/>
    <xf numFmtId="0" fontId="7" fillId="0" borderId="0" xfId="0" applyFont="1" applyFill="1"/>
    <xf numFmtId="0" fontId="1" fillId="0" borderId="0" xfId="0" applyFont="1" applyBorder="1" applyAlignment="1">
      <alignment horizontal="center"/>
    </xf>
    <xf numFmtId="165" fontId="0" fillId="0" borderId="0" xfId="0" applyNumberFormat="1"/>
    <xf numFmtId="169" fontId="0" fillId="0" borderId="0" xfId="0" applyNumberFormat="1" applyFill="1"/>
    <xf numFmtId="167" fontId="0" fillId="0" borderId="0" xfId="0" applyNumberFormat="1" applyFill="1"/>
    <xf numFmtId="164" fontId="9" fillId="0" borderId="0" xfId="0" applyNumberFormat="1" applyFont="1"/>
    <xf numFmtId="0" fontId="0" fillId="0" borderId="0" xfId="0" applyBorder="1" applyAlignment="1">
      <alignment horizontal="center"/>
    </xf>
    <xf numFmtId="0" fontId="0" fillId="0" borderId="0" xfId="0" applyFill="1" applyBorder="1" applyAlignment="1">
      <alignment horizontal="center"/>
    </xf>
    <xf numFmtId="0" fontId="1" fillId="0" borderId="3" xfId="0" applyFont="1" applyFill="1" applyBorder="1" applyAlignment="1">
      <alignment horizontal="center"/>
    </xf>
    <xf numFmtId="0" fontId="0" fillId="0" borderId="4" xfId="0" applyBorder="1" applyAlignment="1">
      <alignment horizontal="center"/>
    </xf>
    <xf numFmtId="0" fontId="0" fillId="0" borderId="6" xfId="0" applyBorder="1"/>
    <xf numFmtId="0" fontId="0" fillId="0" borderId="7" xfId="0" applyBorder="1"/>
    <xf numFmtId="0" fontId="1" fillId="0" borderId="8" xfId="0" applyFont="1" applyBorder="1" applyAlignment="1">
      <alignment horizontal="center"/>
    </xf>
    <xf numFmtId="42" fontId="0" fillId="0" borderId="6" xfId="0" applyNumberFormat="1" applyBorder="1" applyAlignment="1"/>
    <xf numFmtId="42" fontId="3" fillId="0" borderId="6" xfId="0" applyNumberFormat="1" applyFont="1" applyBorder="1" applyAlignment="1"/>
    <xf numFmtId="41" fontId="3" fillId="0" borderId="6" xfId="0" applyNumberFormat="1" applyFont="1" applyBorder="1" applyAlignment="1"/>
    <xf numFmtId="41" fontId="3" fillId="0" borderId="9" xfId="0" applyNumberFormat="1" applyFont="1" applyFill="1" applyBorder="1" applyAlignment="1"/>
    <xf numFmtId="41" fontId="3" fillId="0" borderId="9" xfId="0" applyNumberFormat="1" applyFont="1" applyBorder="1" applyAlignment="1"/>
    <xf numFmtId="41" fontId="3" fillId="0" borderId="8" xfId="0" applyNumberFormat="1" applyFont="1" applyBorder="1" applyAlignment="1"/>
    <xf numFmtId="41" fontId="3" fillId="0" borderId="10" xfId="0" applyNumberFormat="1" applyFont="1" applyBorder="1" applyAlignment="1"/>
    <xf numFmtId="41" fontId="0" fillId="0" borderId="6" xfId="0" applyNumberFormat="1" applyFont="1" applyBorder="1"/>
    <xf numFmtId="41" fontId="0" fillId="0" borderId="8" xfId="0" applyNumberFormat="1" applyFont="1" applyBorder="1"/>
    <xf numFmtId="42" fontId="0" fillId="0" borderId="11" xfId="0" applyNumberFormat="1" applyBorder="1"/>
    <xf numFmtId="0" fontId="0" fillId="0" borderId="6" xfId="0" applyFill="1" applyBorder="1"/>
    <xf numFmtId="0" fontId="0" fillId="0" borderId="12" xfId="0" applyBorder="1"/>
    <xf numFmtId="0" fontId="0" fillId="0" borderId="13" xfId="0" applyBorder="1"/>
    <xf numFmtId="0" fontId="1" fillId="0" borderId="14" xfId="0" applyFont="1" applyBorder="1" applyAlignment="1">
      <alignment horizontal="center"/>
    </xf>
    <xf numFmtId="42" fontId="0" fillId="0" borderId="12" xfId="0" applyNumberFormat="1" applyBorder="1" applyAlignment="1"/>
    <xf numFmtId="42" fontId="3" fillId="0" borderId="12" xfId="0" applyNumberFormat="1" applyFont="1" applyBorder="1" applyAlignment="1"/>
    <xf numFmtId="41" fontId="3" fillId="0" borderId="12" xfId="0" applyNumberFormat="1" applyFont="1" applyBorder="1" applyAlignment="1"/>
    <xf numFmtId="41" fontId="3" fillId="0" borderId="15" xfId="0" applyNumberFormat="1" applyFont="1" applyFill="1" applyBorder="1" applyAlignment="1"/>
    <xf numFmtId="41" fontId="3" fillId="0" borderId="15" xfId="0" applyNumberFormat="1" applyFont="1" applyBorder="1" applyAlignment="1"/>
    <xf numFmtId="41" fontId="3" fillId="0" borderId="14" xfId="0" applyNumberFormat="1" applyFont="1" applyBorder="1" applyAlignment="1"/>
    <xf numFmtId="41" fontId="3" fillId="0" borderId="16" xfId="0" applyNumberFormat="1" applyFont="1" applyBorder="1" applyAlignment="1"/>
    <xf numFmtId="41" fontId="0" fillId="0" borderId="12" xfId="0" applyNumberFormat="1" applyFont="1" applyBorder="1"/>
    <xf numFmtId="42" fontId="0" fillId="0" borderId="17" xfId="0" applyNumberFormat="1" applyBorder="1"/>
    <xf numFmtId="0" fontId="0" fillId="0" borderId="12" xfId="0" applyFill="1" applyBorder="1"/>
    <xf numFmtId="0" fontId="0" fillId="0" borderId="13" xfId="0" applyFill="1" applyBorder="1"/>
    <xf numFmtId="165" fontId="3" fillId="0" borderId="12" xfId="0" applyNumberFormat="1" applyFont="1" applyBorder="1" applyAlignment="1"/>
    <xf numFmtId="43" fontId="3" fillId="0" borderId="12" xfId="0" applyNumberFormat="1" applyFont="1" applyBorder="1" applyAlignment="1"/>
    <xf numFmtId="43" fontId="3" fillId="0" borderId="14" xfId="0" applyNumberFormat="1" applyFont="1" applyBorder="1" applyAlignment="1"/>
    <xf numFmtId="43" fontId="3" fillId="0" borderId="12" xfId="0" applyNumberFormat="1" applyFont="1" applyFill="1" applyBorder="1" applyAlignment="1"/>
    <xf numFmtId="43" fontId="0" fillId="0" borderId="12" xfId="0" applyNumberFormat="1" applyFill="1" applyBorder="1"/>
    <xf numFmtId="43" fontId="3" fillId="0" borderId="14" xfId="0" applyNumberFormat="1" applyFont="1" applyFill="1" applyBorder="1" applyAlignment="1"/>
    <xf numFmtId="43" fontId="0" fillId="0" borderId="12" xfId="0" applyNumberFormat="1" applyBorder="1"/>
    <xf numFmtId="165" fontId="3" fillId="0" borderId="17" xfId="0" applyNumberFormat="1" applyFont="1" applyFill="1" applyBorder="1" applyAlignment="1"/>
    <xf numFmtId="42" fontId="3" fillId="0" borderId="12" xfId="0" applyNumberFormat="1" applyFont="1" applyFill="1" applyBorder="1" applyAlignment="1"/>
    <xf numFmtId="0" fontId="0" fillId="0" borderId="18" xfId="0" applyBorder="1" applyAlignment="1">
      <alignment horizontal="center"/>
    </xf>
    <xf numFmtId="0" fontId="0" fillId="0" borderId="19" xfId="0" applyBorder="1" applyAlignment="1">
      <alignment horizontal="center"/>
    </xf>
    <xf numFmtId="0" fontId="0" fillId="0" borderId="18" xfId="0" applyBorder="1"/>
    <xf numFmtId="0" fontId="1" fillId="0" borderId="20" xfId="0" applyFont="1" applyBorder="1" applyAlignment="1">
      <alignment horizontal="center"/>
    </xf>
    <xf numFmtId="42" fontId="0" fillId="0" borderId="18" xfId="0" applyNumberFormat="1" applyBorder="1" applyAlignment="1"/>
    <xf numFmtId="42" fontId="3" fillId="0" borderId="18" xfId="0" applyNumberFormat="1" applyFont="1" applyBorder="1" applyAlignment="1"/>
    <xf numFmtId="41" fontId="3" fillId="0" borderId="18" xfId="0" applyNumberFormat="1" applyFont="1" applyBorder="1" applyAlignment="1"/>
    <xf numFmtId="41" fontId="3" fillId="0" borderId="21" xfId="0" applyNumberFormat="1" applyFont="1" applyFill="1" applyBorder="1" applyAlignment="1"/>
    <xf numFmtId="41" fontId="3" fillId="0" borderId="21" xfId="0" applyNumberFormat="1" applyFont="1" applyBorder="1" applyAlignment="1"/>
    <xf numFmtId="41" fontId="3" fillId="0" borderId="20" xfId="0" applyNumberFormat="1" applyFont="1" applyBorder="1" applyAlignment="1"/>
    <xf numFmtId="41" fontId="3" fillId="0" borderId="22" xfId="0" applyNumberFormat="1" applyFont="1" applyBorder="1" applyAlignment="1"/>
    <xf numFmtId="41" fontId="0" fillId="0" borderId="18" xfId="0" applyNumberFormat="1" applyFont="1" applyBorder="1"/>
    <xf numFmtId="42" fontId="0" fillId="0" borderId="23" xfId="0" applyNumberFormat="1" applyBorder="1"/>
    <xf numFmtId="0" fontId="0" fillId="0" borderId="19" xfId="0" applyBorder="1"/>
    <xf numFmtId="165" fontId="3" fillId="0" borderId="18" xfId="0" applyNumberFormat="1" applyFont="1" applyBorder="1" applyAlignment="1"/>
    <xf numFmtId="43" fontId="3" fillId="0" borderId="18" xfId="0" applyNumberFormat="1" applyFont="1" applyBorder="1" applyAlignment="1"/>
    <xf numFmtId="43" fontId="3" fillId="0" borderId="20" xfId="0" applyNumberFormat="1" applyFont="1" applyBorder="1" applyAlignment="1"/>
    <xf numFmtId="43" fontId="3" fillId="0" borderId="18" xfId="0" applyNumberFormat="1" applyFont="1" applyFill="1" applyBorder="1" applyAlignment="1"/>
    <xf numFmtId="43" fontId="0" fillId="0" borderId="18" xfId="0" applyNumberFormat="1" applyFill="1" applyBorder="1"/>
    <xf numFmtId="43" fontId="3" fillId="0" borderId="20" xfId="0" applyNumberFormat="1" applyFont="1" applyFill="1" applyBorder="1" applyAlignment="1"/>
    <xf numFmtId="43" fontId="0" fillId="0" borderId="18" xfId="0" applyNumberFormat="1" applyBorder="1"/>
    <xf numFmtId="0" fontId="0" fillId="0" borderId="18" xfId="0" applyFill="1" applyBorder="1"/>
    <xf numFmtId="165" fontId="3" fillId="0" borderId="23" xfId="0" applyNumberFormat="1" applyFont="1" applyFill="1" applyBorder="1" applyAlignment="1"/>
    <xf numFmtId="42" fontId="3" fillId="0" borderId="18" xfId="0" applyNumberFormat="1" applyFont="1" applyFill="1" applyBorder="1" applyAlignme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FAAD-F1F1-4A7C-BDB0-8C27F0A4E096}">
  <sheetPr>
    <pageSetUpPr fitToPage="1"/>
  </sheetPr>
  <dimension ref="A2:XBB117"/>
  <sheetViews>
    <sheetView showGridLines="0" tabSelected="1" zoomScale="82" zoomScaleNormal="82" workbookViewId="0">
      <pane xSplit="4" ySplit="7" topLeftCell="E8" activePane="bottomRight" state="frozen"/>
      <selection pane="topRight" activeCell="E1" sqref="E1"/>
      <selection pane="bottomLeft" activeCell="A8" sqref="A8"/>
      <selection pane="bottomRight" activeCell="C84" sqref="C84"/>
    </sheetView>
  </sheetViews>
  <sheetFormatPr defaultRowHeight="12.5" x14ac:dyDescent="0.25"/>
  <cols>
    <col min="1" max="1" width="4" customWidth="1"/>
    <col min="3" max="3" width="48.7265625" customWidth="1"/>
    <col min="4" max="4" width="2.7265625" customWidth="1"/>
    <col min="5" max="5" width="9.81640625" customWidth="1"/>
    <col min="6" max="6" width="2.81640625" customWidth="1"/>
    <col min="7" max="7" width="9.81640625" customWidth="1"/>
    <col min="8" max="8" width="3.26953125" customWidth="1"/>
    <col min="9" max="9" width="9.81640625" customWidth="1"/>
    <col min="10" max="10" width="2.7265625" customWidth="1"/>
    <col min="11" max="11" width="9.81640625" customWidth="1"/>
    <col min="12" max="12" width="2.7265625" customWidth="1"/>
    <col min="13" max="15" width="9.7265625" customWidth="1"/>
    <col min="16" max="16" width="10.453125" customWidth="1"/>
    <col min="17" max="17" width="9.81640625" bestFit="1" customWidth="1"/>
    <col min="18" max="18" width="2.26953125" customWidth="1"/>
    <col min="19" max="21" width="9.7265625" customWidth="1"/>
    <col min="22" max="23" width="11.81640625" customWidth="1"/>
    <col min="24" max="24" width="12" customWidth="1"/>
    <col min="25" max="25" width="11.81640625" customWidth="1"/>
    <col min="26" max="26" width="10.7265625" customWidth="1"/>
    <col min="27" max="27" width="11" customWidth="1"/>
    <col min="28" max="28" width="10.6328125" bestFit="1" customWidth="1"/>
    <col min="29" max="29" width="12.453125" customWidth="1"/>
    <col min="31" max="31" width="12.36328125" bestFit="1" customWidth="1"/>
  </cols>
  <sheetData>
    <row r="2" spans="1:30" ht="18" x14ac:dyDescent="0.4">
      <c r="B2" s="24" t="s">
        <v>0</v>
      </c>
    </row>
    <row r="3" spans="1:30" x14ac:dyDescent="0.25">
      <c r="A3" t="s">
        <v>22</v>
      </c>
    </row>
    <row r="4" spans="1:30" x14ac:dyDescent="0.25">
      <c r="V4" s="103"/>
      <c r="X4" s="140" t="s">
        <v>91</v>
      </c>
      <c r="Y4" s="29" t="s">
        <v>91</v>
      </c>
      <c r="AA4" s="117"/>
      <c r="AC4" s="140" t="s">
        <v>91</v>
      </c>
    </row>
    <row r="5" spans="1:30" ht="16" thickBot="1" x14ac:dyDescent="0.4">
      <c r="B5" s="26" t="s">
        <v>42</v>
      </c>
      <c r="C5" s="28"/>
      <c r="D5" s="28"/>
      <c r="E5" s="28"/>
      <c r="F5" s="28"/>
      <c r="G5" s="28"/>
      <c r="H5" s="28"/>
      <c r="I5" s="28"/>
      <c r="J5" s="28"/>
      <c r="K5" s="28"/>
      <c r="L5" s="28"/>
      <c r="M5" s="28"/>
      <c r="N5" s="28"/>
      <c r="O5" s="28"/>
      <c r="P5" s="28"/>
      <c r="Q5" s="28"/>
      <c r="R5" s="28"/>
      <c r="S5" s="28"/>
      <c r="T5" s="28"/>
      <c r="U5" s="28"/>
      <c r="V5" s="104" t="s">
        <v>89</v>
      </c>
      <c r="W5" s="102" t="s">
        <v>90</v>
      </c>
      <c r="X5" s="141" t="s">
        <v>92</v>
      </c>
      <c r="Y5" s="102" t="s">
        <v>92</v>
      </c>
      <c r="AA5" s="118" t="s">
        <v>89</v>
      </c>
      <c r="AB5" s="102" t="s">
        <v>90</v>
      </c>
      <c r="AC5" s="141" t="s">
        <v>92</v>
      </c>
    </row>
    <row r="6" spans="1:30" ht="6" customHeight="1" thickTop="1" x14ac:dyDescent="0.3">
      <c r="B6" s="1"/>
      <c r="V6" s="103"/>
      <c r="X6" s="142"/>
      <c r="AA6" s="117"/>
      <c r="AC6" s="142"/>
    </row>
    <row r="7" spans="1:30" ht="13" x14ac:dyDescent="0.3">
      <c r="E7" s="33">
        <v>2015</v>
      </c>
      <c r="G7" s="33">
        <v>2016</v>
      </c>
      <c r="I7" s="33">
        <v>2017</v>
      </c>
      <c r="K7" s="33">
        <v>2018</v>
      </c>
      <c r="M7" s="33" t="s">
        <v>54</v>
      </c>
      <c r="N7" s="33" t="s">
        <v>55</v>
      </c>
      <c r="O7" s="33" t="s">
        <v>56</v>
      </c>
      <c r="P7" s="33" t="s">
        <v>57</v>
      </c>
      <c r="Q7" s="33" t="s">
        <v>1</v>
      </c>
      <c r="S7" s="33" t="s">
        <v>65</v>
      </c>
      <c r="T7" s="33" t="s">
        <v>66</v>
      </c>
      <c r="U7" s="33" t="s">
        <v>67</v>
      </c>
      <c r="V7" s="105" t="s">
        <v>85</v>
      </c>
      <c r="W7" s="33" t="s">
        <v>84</v>
      </c>
      <c r="X7" s="143" t="s">
        <v>68</v>
      </c>
      <c r="Y7" s="33" t="s">
        <v>1</v>
      </c>
      <c r="AA7" s="119" t="s">
        <v>87</v>
      </c>
      <c r="AB7" s="33" t="s">
        <v>88</v>
      </c>
      <c r="AC7" s="143" t="s">
        <v>86</v>
      </c>
    </row>
    <row r="8" spans="1:30" ht="13" x14ac:dyDescent="0.3">
      <c r="B8" s="1" t="s">
        <v>71</v>
      </c>
      <c r="C8" s="2"/>
      <c r="E8" s="6"/>
      <c r="G8" s="4"/>
      <c r="I8" s="4"/>
      <c r="K8" s="4"/>
      <c r="M8" s="3"/>
      <c r="N8" s="4"/>
      <c r="O8" s="4"/>
      <c r="P8" s="4"/>
      <c r="Q8" s="4"/>
      <c r="S8" s="3"/>
      <c r="T8" s="4"/>
      <c r="U8" s="4"/>
      <c r="V8" s="106"/>
      <c r="W8" s="4"/>
      <c r="X8" s="144"/>
      <c r="Y8" s="4"/>
      <c r="AA8" s="120"/>
      <c r="AB8" s="4"/>
      <c r="AC8" s="144"/>
    </row>
    <row r="9" spans="1:30" x14ac:dyDescent="0.25">
      <c r="B9" s="39" t="s">
        <v>70</v>
      </c>
      <c r="C9" s="8"/>
      <c r="E9" s="68">
        <v>2134</v>
      </c>
      <c r="F9" s="36"/>
      <c r="G9" s="25">
        <v>1621</v>
      </c>
      <c r="I9" s="68">
        <v>1936</v>
      </c>
      <c r="K9" s="68">
        <v>2590</v>
      </c>
      <c r="M9" s="68">
        <v>601</v>
      </c>
      <c r="N9" s="25">
        <v>578</v>
      </c>
      <c r="O9" s="25">
        <v>541</v>
      </c>
      <c r="P9" s="25">
        <v>550</v>
      </c>
      <c r="Q9" s="68">
        <f>+M9+N9+O9+P9</f>
        <v>2270</v>
      </c>
      <c r="S9" s="68">
        <v>430</v>
      </c>
      <c r="T9" s="25">
        <v>245</v>
      </c>
      <c r="U9" s="25">
        <v>312</v>
      </c>
      <c r="V9" s="107">
        <v>105</v>
      </c>
      <c r="W9" s="25">
        <v>237</v>
      </c>
      <c r="X9" s="145">
        <f>V9+W9</f>
        <v>342</v>
      </c>
      <c r="Y9" s="68">
        <f>+S9+T9+U9+X9</f>
        <v>1329</v>
      </c>
      <c r="Z9" s="8"/>
      <c r="AA9" s="121">
        <f>S9+T9+U9+V9</f>
        <v>1092</v>
      </c>
      <c r="AB9" s="25">
        <f>W9</f>
        <v>237</v>
      </c>
      <c r="AC9" s="145">
        <f>AA9+AB9</f>
        <v>1329</v>
      </c>
      <c r="AD9" s="8"/>
    </row>
    <row r="10" spans="1:30" x14ac:dyDescent="0.25">
      <c r="B10" s="39" t="s">
        <v>46</v>
      </c>
      <c r="C10" s="8"/>
      <c r="E10" s="55">
        <v>133</v>
      </c>
      <c r="F10" s="36"/>
      <c r="G10" s="10">
        <v>-206</v>
      </c>
      <c r="I10" s="10">
        <v>-90</v>
      </c>
      <c r="K10" s="10">
        <v>1</v>
      </c>
      <c r="M10" s="10">
        <v>-89</v>
      </c>
      <c r="N10" s="10">
        <v>21</v>
      </c>
      <c r="O10" s="10">
        <v>37</v>
      </c>
      <c r="P10" s="10">
        <v>-28</v>
      </c>
      <c r="Q10" s="10">
        <f t="shared" ref="Q10:Q13" si="0">+M10+N10+O10+P10</f>
        <v>-59</v>
      </c>
      <c r="S10" s="10">
        <v>79</v>
      </c>
      <c r="T10" s="10">
        <v>-4</v>
      </c>
      <c r="U10" s="10">
        <v>0</v>
      </c>
      <c r="V10" s="108">
        <v>16</v>
      </c>
      <c r="W10" s="10">
        <v>-141</v>
      </c>
      <c r="X10" s="146">
        <f>V10+W10</f>
        <v>-125</v>
      </c>
      <c r="Y10" s="10">
        <f t="shared" ref="Y10:Y13" si="1">+S10+T10+U10+X10</f>
        <v>-50</v>
      </c>
      <c r="Z10" s="8"/>
      <c r="AA10" s="122">
        <f>+S10+T10+U10+V10</f>
        <v>91</v>
      </c>
      <c r="AB10" s="10">
        <f>W10</f>
        <v>-141</v>
      </c>
      <c r="AC10" s="146">
        <f>AA10+AB10</f>
        <v>-50</v>
      </c>
      <c r="AD10" s="8"/>
    </row>
    <row r="11" spans="1:30" x14ac:dyDescent="0.25">
      <c r="B11" s="39" t="s">
        <v>69</v>
      </c>
      <c r="C11" s="8"/>
      <c r="E11" s="55"/>
      <c r="F11" s="36"/>
      <c r="G11" s="10">
        <f>22</f>
        <v>22</v>
      </c>
      <c r="I11" s="10">
        <f>32</f>
        <v>32</v>
      </c>
      <c r="K11" s="10">
        <v>330</v>
      </c>
      <c r="M11" s="10">
        <v>135</v>
      </c>
      <c r="N11" s="10">
        <v>33</v>
      </c>
      <c r="O11" s="10">
        <v>62</v>
      </c>
      <c r="P11" s="10">
        <v>56</v>
      </c>
      <c r="Q11" s="10">
        <f t="shared" si="0"/>
        <v>286</v>
      </c>
      <c r="S11" s="10">
        <v>45</v>
      </c>
      <c r="T11" s="10">
        <v>14</v>
      </c>
      <c r="U11" s="10">
        <v>50</v>
      </c>
      <c r="V11" s="108">
        <v>15</v>
      </c>
      <c r="W11" s="10">
        <v>38</v>
      </c>
      <c r="X11" s="146">
        <f t="shared" ref="X11:X13" si="2">V11+W11</f>
        <v>53</v>
      </c>
      <c r="Y11" s="10">
        <f t="shared" si="1"/>
        <v>162</v>
      </c>
      <c r="Z11" s="8"/>
      <c r="AA11" s="122">
        <f t="shared" ref="AA11:AA13" si="3">+S11+T11+U11+V11</f>
        <v>124</v>
      </c>
      <c r="AB11" s="10">
        <f t="shared" ref="AB11:AB13" si="4">W11</f>
        <v>38</v>
      </c>
      <c r="AC11" s="146">
        <f t="shared" ref="AC11:AC13" si="5">AA11+AB11</f>
        <v>162</v>
      </c>
      <c r="AD11" s="8"/>
    </row>
    <row r="12" spans="1:30" x14ac:dyDescent="0.25">
      <c r="B12" s="39" t="s">
        <v>72</v>
      </c>
      <c r="C12" s="8"/>
      <c r="E12" s="55"/>
      <c r="F12" s="36"/>
      <c r="G12" s="10">
        <v>107</v>
      </c>
      <c r="I12" s="10">
        <v>125</v>
      </c>
      <c r="K12" s="10">
        <v>111</v>
      </c>
      <c r="M12" s="10">
        <v>34</v>
      </c>
      <c r="N12" s="10">
        <v>16</v>
      </c>
      <c r="O12" s="10">
        <v>38</v>
      </c>
      <c r="P12" s="10">
        <v>24</v>
      </c>
      <c r="Q12" s="10">
        <f t="shared" si="0"/>
        <v>112</v>
      </c>
      <c r="S12" s="10">
        <v>13</v>
      </c>
      <c r="T12" s="10">
        <v>19</v>
      </c>
      <c r="U12" s="10">
        <v>43</v>
      </c>
      <c r="V12" s="108">
        <v>11</v>
      </c>
      <c r="W12" s="10">
        <v>15</v>
      </c>
      <c r="X12" s="146">
        <f t="shared" si="2"/>
        <v>26</v>
      </c>
      <c r="Y12" s="10">
        <f t="shared" si="1"/>
        <v>101</v>
      </c>
      <c r="Z12" s="8"/>
      <c r="AA12" s="122">
        <f t="shared" si="3"/>
        <v>86</v>
      </c>
      <c r="AB12" s="10">
        <f t="shared" si="4"/>
        <v>15</v>
      </c>
      <c r="AC12" s="146">
        <f t="shared" si="5"/>
        <v>101</v>
      </c>
      <c r="AD12" s="8"/>
    </row>
    <row r="13" spans="1:30" x14ac:dyDescent="0.25">
      <c r="B13" s="39" t="s">
        <v>27</v>
      </c>
      <c r="C13" s="8"/>
      <c r="E13" s="55">
        <v>136</v>
      </c>
      <c r="F13" s="36"/>
      <c r="G13" s="10">
        <f>132-107-22</f>
        <v>3</v>
      </c>
      <c r="I13" s="55">
        <f>160-125-32</f>
        <v>3</v>
      </c>
      <c r="K13" s="55">
        <f>473-330-111</f>
        <v>32</v>
      </c>
      <c r="M13" s="55">
        <f>178-135-34</f>
        <v>9</v>
      </c>
      <c r="N13" s="10">
        <f>54-33-16</f>
        <v>5</v>
      </c>
      <c r="O13" s="10">
        <f>103-62-38</f>
        <v>3</v>
      </c>
      <c r="P13" s="10">
        <f>88-56-24</f>
        <v>8</v>
      </c>
      <c r="Q13" s="55">
        <f t="shared" si="0"/>
        <v>25</v>
      </c>
      <c r="S13" s="55">
        <f>64-45-13</f>
        <v>6</v>
      </c>
      <c r="T13" s="10">
        <v>2</v>
      </c>
      <c r="U13" s="10">
        <v>4</v>
      </c>
      <c r="V13" s="108">
        <v>2</v>
      </c>
      <c r="W13" s="10">
        <v>3</v>
      </c>
      <c r="X13" s="146">
        <f t="shared" si="2"/>
        <v>5</v>
      </c>
      <c r="Y13" s="55">
        <f t="shared" si="1"/>
        <v>17</v>
      </c>
      <c r="Z13" s="8"/>
      <c r="AA13" s="122">
        <f t="shared" si="3"/>
        <v>14</v>
      </c>
      <c r="AB13" s="10">
        <f t="shared" si="4"/>
        <v>3</v>
      </c>
      <c r="AC13" s="146">
        <f t="shared" si="5"/>
        <v>17</v>
      </c>
      <c r="AD13" s="8"/>
    </row>
    <row r="14" spans="1:30" ht="14.5" x14ac:dyDescent="0.25">
      <c r="B14" s="7" t="s">
        <v>77</v>
      </c>
      <c r="C14" s="8"/>
      <c r="E14" s="69">
        <f>SUM(E9:E13)</f>
        <v>2403</v>
      </c>
      <c r="F14" s="36"/>
      <c r="G14" s="69">
        <f>SUM(G9:G13)</f>
        <v>1547</v>
      </c>
      <c r="I14" s="69">
        <f>SUM(I9:I13)</f>
        <v>2006</v>
      </c>
      <c r="K14" s="69">
        <f>SUM(K9:K13)</f>
        <v>3064</v>
      </c>
      <c r="M14" s="69">
        <f>SUM(M9:M13)</f>
        <v>690</v>
      </c>
      <c r="N14" s="69">
        <f>SUM(N9:N13)</f>
        <v>653</v>
      </c>
      <c r="O14" s="69">
        <f>SUM(O9:O13)</f>
        <v>681</v>
      </c>
      <c r="P14" s="69">
        <f>SUM(P9:P13)</f>
        <v>610</v>
      </c>
      <c r="Q14" s="69">
        <f>SUM(Q9:Q13)</f>
        <v>2634</v>
      </c>
      <c r="S14" s="69">
        <f>SUM(S9:S13)</f>
        <v>573</v>
      </c>
      <c r="T14" s="69">
        <f>SUM(T9:T13)</f>
        <v>276</v>
      </c>
      <c r="U14" s="69">
        <f>SUM(U9:U13)</f>
        <v>409</v>
      </c>
      <c r="V14" s="109">
        <f t="shared" ref="V14:W14" si="6">SUM(V9:V13)</f>
        <v>149</v>
      </c>
      <c r="W14" s="69">
        <f t="shared" si="6"/>
        <v>152</v>
      </c>
      <c r="X14" s="147">
        <f>SUM(X9:X13)</f>
        <v>301</v>
      </c>
      <c r="Y14" s="69">
        <f>SUM(Y9:Y13)</f>
        <v>1559</v>
      </c>
      <c r="Z14" s="8"/>
      <c r="AA14" s="123">
        <f t="shared" ref="AA14" si="7">SUM(AA9:AA13)</f>
        <v>1407</v>
      </c>
      <c r="AB14" s="69">
        <f t="shared" ref="AB14" si="8">SUM(AB9:AB13)</f>
        <v>152</v>
      </c>
      <c r="AC14" s="147">
        <f>SUM(AC9:AC13)</f>
        <v>1559</v>
      </c>
      <c r="AD14" s="8"/>
    </row>
    <row r="15" spans="1:30" ht="12.65" customHeight="1" x14ac:dyDescent="0.25">
      <c r="B15" s="7"/>
      <c r="C15" s="8"/>
      <c r="E15" s="25"/>
      <c r="G15" s="25"/>
      <c r="I15" s="68"/>
      <c r="K15" s="68"/>
      <c r="M15" s="25"/>
      <c r="N15" s="25"/>
      <c r="O15" s="25"/>
      <c r="P15" s="25"/>
      <c r="Q15" s="68"/>
      <c r="S15" s="25"/>
      <c r="T15" s="25"/>
      <c r="U15" s="25"/>
      <c r="V15" s="107"/>
      <c r="W15" s="25"/>
      <c r="X15" s="145"/>
      <c r="Y15" s="68"/>
      <c r="Z15" s="8"/>
      <c r="AA15" s="121"/>
      <c r="AB15" s="25"/>
      <c r="AC15" s="145"/>
      <c r="AD15" s="8"/>
    </row>
    <row r="16" spans="1:30" ht="13" x14ac:dyDescent="0.3">
      <c r="B16" s="1" t="s">
        <v>24</v>
      </c>
      <c r="C16" s="8"/>
      <c r="E16" s="25"/>
      <c r="G16" s="25"/>
      <c r="I16" s="68"/>
      <c r="K16" s="68"/>
      <c r="M16" s="25"/>
      <c r="N16" s="25"/>
      <c r="O16" s="25"/>
      <c r="P16" s="25"/>
      <c r="Q16" s="68"/>
      <c r="S16" s="25"/>
      <c r="T16" s="25"/>
      <c r="U16" s="25"/>
      <c r="V16" s="107"/>
      <c r="W16" s="25"/>
      <c r="X16" s="145"/>
      <c r="Y16" s="68"/>
      <c r="Z16" s="8"/>
      <c r="AA16" s="121"/>
      <c r="AB16" s="25"/>
      <c r="AC16" s="145"/>
      <c r="AD16" s="8"/>
    </row>
    <row r="17" spans="2:30" x14ac:dyDescent="0.25">
      <c r="B17" s="39" t="s">
        <v>28</v>
      </c>
      <c r="C17" s="8"/>
      <c r="E17" s="10">
        <v>951</v>
      </c>
      <c r="G17" s="55">
        <v>800</v>
      </c>
      <c r="I17" s="55">
        <v>876</v>
      </c>
      <c r="K17" s="55">
        <v>912</v>
      </c>
      <c r="M17" s="10">
        <v>233</v>
      </c>
      <c r="N17" s="10">
        <v>230</v>
      </c>
      <c r="O17" s="10">
        <v>221</v>
      </c>
      <c r="P17" s="10">
        <v>211</v>
      </c>
      <c r="Q17" s="55">
        <f t="shared" ref="Q17:Q26" si="9">+M17+N17+O17+P17</f>
        <v>895</v>
      </c>
      <c r="S17" s="10">
        <v>192</v>
      </c>
      <c r="T17" s="10">
        <v>127</v>
      </c>
      <c r="U17" s="10">
        <v>141</v>
      </c>
      <c r="V17" s="108">
        <v>51</v>
      </c>
      <c r="W17" s="10">
        <v>114</v>
      </c>
      <c r="X17" s="146">
        <f t="shared" ref="X17:X26" si="10">V17+W17</f>
        <v>165</v>
      </c>
      <c r="Y17" s="55">
        <f t="shared" ref="Y17:Y26" si="11">+S17+T17+U17+X17</f>
        <v>625</v>
      </c>
      <c r="Z17" s="8"/>
      <c r="AA17" s="122">
        <f t="shared" ref="AA17:AA23" si="12">+S17+T17+U17+V17</f>
        <v>511</v>
      </c>
      <c r="AB17" s="10">
        <f t="shared" ref="AB17:AB23" si="13">W17</f>
        <v>114</v>
      </c>
      <c r="AC17" s="146">
        <f t="shared" ref="AC17:AC26" si="14">AA17+AB17</f>
        <v>625</v>
      </c>
      <c r="AD17" s="8"/>
    </row>
    <row r="18" spans="2:30" ht="14.5" x14ac:dyDescent="0.25">
      <c r="B18" s="39" t="s">
        <v>78</v>
      </c>
      <c r="C18" s="8"/>
      <c r="E18" s="10">
        <f>354-27</f>
        <v>327</v>
      </c>
      <c r="G18" s="55">
        <f>248-13</f>
        <v>235</v>
      </c>
      <c r="I18" s="55">
        <v>249</v>
      </c>
      <c r="K18" s="55">
        <v>299</v>
      </c>
      <c r="M18" s="10">
        <v>83</v>
      </c>
      <c r="N18" s="10">
        <v>79</v>
      </c>
      <c r="O18" s="10">
        <f>65+1</f>
        <v>66</v>
      </c>
      <c r="P18" s="10">
        <v>62</v>
      </c>
      <c r="Q18" s="55">
        <f t="shared" si="9"/>
        <v>290</v>
      </c>
      <c r="S18" s="10">
        <v>60</v>
      </c>
      <c r="T18" s="10">
        <v>69</v>
      </c>
      <c r="U18" s="10">
        <v>64</v>
      </c>
      <c r="V18" s="108">
        <v>19</v>
      </c>
      <c r="W18" s="10">
        <v>40</v>
      </c>
      <c r="X18" s="146">
        <f t="shared" si="10"/>
        <v>59</v>
      </c>
      <c r="Y18" s="55">
        <f t="shared" si="11"/>
        <v>252</v>
      </c>
      <c r="Z18" s="8"/>
      <c r="AA18" s="122">
        <f t="shared" si="12"/>
        <v>212</v>
      </c>
      <c r="AB18" s="10">
        <f t="shared" si="13"/>
        <v>40</v>
      </c>
      <c r="AC18" s="146">
        <f t="shared" si="14"/>
        <v>252</v>
      </c>
      <c r="AD18" s="8"/>
    </row>
    <row r="19" spans="2:30" x14ac:dyDescent="0.25">
      <c r="B19" s="39" t="s">
        <v>29</v>
      </c>
      <c r="C19" s="8"/>
      <c r="E19" s="10">
        <v>1004</v>
      </c>
      <c r="G19" s="55">
        <v>559</v>
      </c>
      <c r="I19" s="55">
        <v>544</v>
      </c>
      <c r="K19" s="55">
        <v>502</v>
      </c>
      <c r="M19" s="10">
        <v>118</v>
      </c>
      <c r="N19" s="10">
        <v>121</v>
      </c>
      <c r="O19" s="10">
        <v>118</v>
      </c>
      <c r="P19" s="10">
        <v>114</v>
      </c>
      <c r="Q19" s="55">
        <f t="shared" si="9"/>
        <v>471</v>
      </c>
      <c r="S19" s="10">
        <v>119</v>
      </c>
      <c r="T19" s="10">
        <v>88</v>
      </c>
      <c r="U19" s="10">
        <v>89</v>
      </c>
      <c r="V19" s="108">
        <v>32</v>
      </c>
      <c r="W19" s="10">
        <v>34</v>
      </c>
      <c r="X19" s="146">
        <f t="shared" si="10"/>
        <v>66</v>
      </c>
      <c r="Y19" s="55">
        <f t="shared" si="11"/>
        <v>362</v>
      </c>
      <c r="Z19" s="8"/>
      <c r="AA19" s="122">
        <f t="shared" si="12"/>
        <v>328</v>
      </c>
      <c r="AB19" s="10">
        <f t="shared" si="13"/>
        <v>34</v>
      </c>
      <c r="AC19" s="146">
        <f t="shared" si="14"/>
        <v>362</v>
      </c>
      <c r="AD19" s="8"/>
    </row>
    <row r="20" spans="2:30" x14ac:dyDescent="0.25">
      <c r="B20" s="39" t="s">
        <v>30</v>
      </c>
      <c r="C20" s="8"/>
      <c r="E20" s="10">
        <v>4852</v>
      </c>
      <c r="G20" s="55">
        <v>0</v>
      </c>
      <c r="I20" s="55">
        <v>0</v>
      </c>
      <c r="K20" s="55">
        <v>0</v>
      </c>
      <c r="M20" s="10">
        <v>0</v>
      </c>
      <c r="N20" s="10">
        <v>0</v>
      </c>
      <c r="O20" s="10">
        <v>0</v>
      </c>
      <c r="P20" s="10">
        <v>0</v>
      </c>
      <c r="Q20" s="55">
        <f t="shared" si="9"/>
        <v>0</v>
      </c>
      <c r="S20" s="10">
        <v>1736</v>
      </c>
      <c r="T20" s="10">
        <v>0</v>
      </c>
      <c r="U20" s="10">
        <v>0</v>
      </c>
      <c r="V20" s="108"/>
      <c r="W20" s="10">
        <v>0</v>
      </c>
      <c r="X20" s="146">
        <f t="shared" si="10"/>
        <v>0</v>
      </c>
      <c r="Y20" s="55">
        <f t="shared" si="11"/>
        <v>1736</v>
      </c>
      <c r="Z20" s="8"/>
      <c r="AA20" s="122">
        <f t="shared" si="12"/>
        <v>1736</v>
      </c>
      <c r="AB20" s="10">
        <f t="shared" si="13"/>
        <v>0</v>
      </c>
      <c r="AC20" s="146">
        <f t="shared" si="14"/>
        <v>1736</v>
      </c>
      <c r="AD20" s="8"/>
    </row>
    <row r="21" spans="2:30" x14ac:dyDescent="0.25">
      <c r="B21" s="39" t="s">
        <v>31</v>
      </c>
      <c r="C21" s="8"/>
      <c r="E21" s="10">
        <v>180</v>
      </c>
      <c r="G21" s="55">
        <v>144</v>
      </c>
      <c r="I21" s="55">
        <v>136</v>
      </c>
      <c r="K21" s="55">
        <v>149</v>
      </c>
      <c r="M21" s="10">
        <v>41</v>
      </c>
      <c r="N21" s="10">
        <v>36</v>
      </c>
      <c r="O21" s="10">
        <v>42</v>
      </c>
      <c r="P21" s="10">
        <v>38</v>
      </c>
      <c r="Q21" s="10">
        <f t="shared" si="9"/>
        <v>157</v>
      </c>
      <c r="S21" s="10">
        <v>41</v>
      </c>
      <c r="T21" s="10">
        <v>38</v>
      </c>
      <c r="U21" s="10">
        <v>42</v>
      </c>
      <c r="V21" s="108">
        <v>13</v>
      </c>
      <c r="W21" s="10">
        <v>10</v>
      </c>
      <c r="X21" s="146">
        <f t="shared" si="10"/>
        <v>23</v>
      </c>
      <c r="Y21" s="10">
        <f t="shared" si="11"/>
        <v>144</v>
      </c>
      <c r="Z21" s="8"/>
      <c r="AA21" s="122">
        <f t="shared" si="12"/>
        <v>134</v>
      </c>
      <c r="AB21" s="10">
        <f t="shared" si="13"/>
        <v>10</v>
      </c>
      <c r="AC21" s="146">
        <f t="shared" si="14"/>
        <v>144</v>
      </c>
      <c r="AD21" s="8"/>
    </row>
    <row r="22" spans="2:30" x14ac:dyDescent="0.25">
      <c r="B22" s="39" t="s">
        <v>32</v>
      </c>
      <c r="C22" s="8"/>
      <c r="E22" s="10">
        <v>36</v>
      </c>
      <c r="G22" s="55">
        <v>23</v>
      </c>
      <c r="I22" s="55">
        <v>22</v>
      </c>
      <c r="K22" s="55">
        <v>34</v>
      </c>
      <c r="M22" s="10">
        <v>10</v>
      </c>
      <c r="N22" s="10">
        <v>10</v>
      </c>
      <c r="O22" s="10">
        <v>5</v>
      </c>
      <c r="P22" s="10">
        <v>4</v>
      </c>
      <c r="Q22" s="10">
        <f t="shared" si="9"/>
        <v>29</v>
      </c>
      <c r="S22" s="10">
        <v>5</v>
      </c>
      <c r="T22" s="10">
        <v>2</v>
      </c>
      <c r="U22" s="10">
        <v>2</v>
      </c>
      <c r="V22" s="108">
        <v>1</v>
      </c>
      <c r="W22" s="10">
        <v>1</v>
      </c>
      <c r="X22" s="146">
        <f t="shared" si="10"/>
        <v>2</v>
      </c>
      <c r="Y22" s="10">
        <f t="shared" si="11"/>
        <v>11</v>
      </c>
      <c r="Z22" s="8"/>
      <c r="AA22" s="122">
        <f t="shared" si="12"/>
        <v>10</v>
      </c>
      <c r="AB22" s="10">
        <f t="shared" si="13"/>
        <v>1</v>
      </c>
      <c r="AC22" s="146">
        <f t="shared" si="14"/>
        <v>11</v>
      </c>
      <c r="AD22" s="8"/>
    </row>
    <row r="23" spans="2:30" ht="14.5" x14ac:dyDescent="0.25">
      <c r="B23" s="39" t="s">
        <v>81</v>
      </c>
      <c r="C23" s="8"/>
      <c r="E23" s="10"/>
      <c r="G23" s="55">
        <v>0</v>
      </c>
      <c r="I23" s="55">
        <v>0</v>
      </c>
      <c r="K23" s="55">
        <f>250</f>
        <v>250</v>
      </c>
      <c r="M23" s="10">
        <v>100</v>
      </c>
      <c r="N23" s="10">
        <v>25</v>
      </c>
      <c r="O23" s="10">
        <v>45</v>
      </c>
      <c r="P23" s="10">
        <v>31</v>
      </c>
      <c r="Q23" s="10">
        <f t="shared" si="9"/>
        <v>201</v>
      </c>
      <c r="S23" s="10">
        <v>24</v>
      </c>
      <c r="T23" s="10">
        <v>8</v>
      </c>
      <c r="U23" s="10">
        <v>35</v>
      </c>
      <c r="V23" s="108">
        <v>11</v>
      </c>
      <c r="W23" s="10">
        <v>24</v>
      </c>
      <c r="X23" s="146">
        <f t="shared" si="10"/>
        <v>35</v>
      </c>
      <c r="Y23" s="10">
        <f t="shared" si="11"/>
        <v>102</v>
      </c>
      <c r="Z23" s="8"/>
      <c r="AA23" s="122">
        <f t="shared" si="12"/>
        <v>78</v>
      </c>
      <c r="AB23" s="10">
        <f t="shared" si="13"/>
        <v>24</v>
      </c>
      <c r="AC23" s="146">
        <f t="shared" si="14"/>
        <v>102</v>
      </c>
      <c r="AD23" s="8"/>
    </row>
    <row r="24" spans="2:30" x14ac:dyDescent="0.25">
      <c r="B24" s="39" t="s">
        <v>73</v>
      </c>
      <c r="C24" s="8"/>
      <c r="E24" s="10"/>
      <c r="G24" s="55">
        <v>62</v>
      </c>
      <c r="I24" s="55">
        <v>65</v>
      </c>
      <c r="K24" s="55">
        <f>61</f>
        <v>61</v>
      </c>
      <c r="M24" s="10">
        <v>24</v>
      </c>
      <c r="N24" s="10">
        <v>9</v>
      </c>
      <c r="O24" s="10">
        <v>18</v>
      </c>
      <c r="P24" s="10">
        <v>17</v>
      </c>
      <c r="Q24" s="10">
        <f t="shared" si="9"/>
        <v>68</v>
      </c>
      <c r="S24" s="10">
        <v>16</v>
      </c>
      <c r="T24" s="10">
        <v>14</v>
      </c>
      <c r="U24" s="10">
        <v>17</v>
      </c>
      <c r="V24" s="108">
        <v>6</v>
      </c>
      <c r="W24" s="10">
        <v>10</v>
      </c>
      <c r="X24" s="146">
        <f t="shared" si="10"/>
        <v>16</v>
      </c>
      <c r="Y24" s="10">
        <f t="shared" si="11"/>
        <v>63</v>
      </c>
      <c r="Z24" s="8"/>
      <c r="AA24" s="122">
        <f t="shared" ref="AA24:AA26" si="15">+S24+T24+U24+V24</f>
        <v>53</v>
      </c>
      <c r="AB24" s="10">
        <f t="shared" ref="AB24:AB26" si="16">W24</f>
        <v>10</v>
      </c>
      <c r="AC24" s="146">
        <f t="shared" si="14"/>
        <v>63</v>
      </c>
      <c r="AD24" s="8"/>
    </row>
    <row r="25" spans="2:30" ht="14.5" x14ac:dyDescent="0.25">
      <c r="B25" s="39" t="s">
        <v>82</v>
      </c>
      <c r="C25" s="8"/>
      <c r="E25" s="10"/>
      <c r="G25" s="55">
        <v>0</v>
      </c>
      <c r="I25" s="55">
        <v>0</v>
      </c>
      <c r="K25" s="55">
        <f>36</f>
        <v>36</v>
      </c>
      <c r="M25" s="10">
        <v>11</v>
      </c>
      <c r="N25" s="10">
        <v>9</v>
      </c>
      <c r="O25" s="10">
        <v>10</v>
      </c>
      <c r="P25" s="10">
        <v>10</v>
      </c>
      <c r="Q25" s="10">
        <f t="shared" si="9"/>
        <v>40</v>
      </c>
      <c r="S25" s="10">
        <v>13</v>
      </c>
      <c r="T25" s="10">
        <v>8</v>
      </c>
      <c r="U25" s="10">
        <v>10</v>
      </c>
      <c r="V25" s="108">
        <v>4</v>
      </c>
      <c r="W25" s="10">
        <v>8</v>
      </c>
      <c r="X25" s="146">
        <f t="shared" si="10"/>
        <v>12</v>
      </c>
      <c r="Y25" s="10">
        <f t="shared" si="11"/>
        <v>43</v>
      </c>
      <c r="Z25" s="8"/>
      <c r="AA25" s="122">
        <f t="shared" si="15"/>
        <v>35</v>
      </c>
      <c r="AB25" s="10">
        <f t="shared" si="16"/>
        <v>8</v>
      </c>
      <c r="AC25" s="146">
        <f t="shared" si="14"/>
        <v>43</v>
      </c>
      <c r="AD25" s="8"/>
    </row>
    <row r="26" spans="2:30" x14ac:dyDescent="0.25">
      <c r="B26" s="39" t="s">
        <v>83</v>
      </c>
      <c r="C26" s="8"/>
      <c r="E26" s="10">
        <f>168-1</f>
        <v>167</v>
      </c>
      <c r="G26" s="55">
        <f>79-62</f>
        <v>17</v>
      </c>
      <c r="I26" s="55">
        <f>106-65</f>
        <v>41</v>
      </c>
      <c r="K26" s="55">
        <f>399-250-61-36</f>
        <v>52</v>
      </c>
      <c r="M26" s="10">
        <f>148-100-24-11</f>
        <v>13</v>
      </c>
      <c r="N26" s="10">
        <f>55-25-9-9</f>
        <v>12</v>
      </c>
      <c r="O26" s="10">
        <f>81-45-18-10</f>
        <v>8</v>
      </c>
      <c r="P26" s="10">
        <f>79-31-17-10</f>
        <v>21</v>
      </c>
      <c r="Q26" s="10">
        <f t="shared" si="9"/>
        <v>54</v>
      </c>
      <c r="S26" s="10">
        <f>69-24-16-13</f>
        <v>16</v>
      </c>
      <c r="T26" s="10">
        <f>67-14-8-8</f>
        <v>37</v>
      </c>
      <c r="U26" s="10">
        <v>22</v>
      </c>
      <c r="V26" s="108">
        <v>14</v>
      </c>
      <c r="W26" s="10">
        <v>17</v>
      </c>
      <c r="X26" s="146">
        <f t="shared" si="10"/>
        <v>31</v>
      </c>
      <c r="Y26" s="10">
        <f t="shared" si="11"/>
        <v>106</v>
      </c>
      <c r="Z26" s="8"/>
      <c r="AA26" s="122">
        <f t="shared" si="15"/>
        <v>89</v>
      </c>
      <c r="AB26" s="10">
        <f t="shared" si="16"/>
        <v>17</v>
      </c>
      <c r="AC26" s="146">
        <f t="shared" si="14"/>
        <v>106</v>
      </c>
      <c r="AD26" s="8"/>
    </row>
    <row r="27" spans="2:30" x14ac:dyDescent="0.25">
      <c r="B27" s="7" t="s">
        <v>25</v>
      </c>
      <c r="C27" s="8"/>
      <c r="E27" s="9">
        <f>SUM(E17:E26)</f>
        <v>7517</v>
      </c>
      <c r="G27" s="9">
        <f>SUM(G17:G26)</f>
        <v>1840</v>
      </c>
      <c r="I27" s="9">
        <f>SUM(I17:I26)</f>
        <v>1933</v>
      </c>
      <c r="K27" s="9">
        <f>SUM(K17:K26)</f>
        <v>2295</v>
      </c>
      <c r="M27" s="9">
        <f>SUM(M17:M26)</f>
        <v>633</v>
      </c>
      <c r="N27" s="9">
        <f>SUM(N17:N26)</f>
        <v>531</v>
      </c>
      <c r="O27" s="9">
        <f>SUM(O17:O26)</f>
        <v>533</v>
      </c>
      <c r="P27" s="9">
        <f>SUM(P17:P26)</f>
        <v>508</v>
      </c>
      <c r="Q27" s="9">
        <f>SUM(Q17:Q26)</f>
        <v>2205</v>
      </c>
      <c r="S27" s="9">
        <f>SUM(S17:S26)</f>
        <v>2222</v>
      </c>
      <c r="T27" s="9">
        <f>SUM(T17:T26)</f>
        <v>391</v>
      </c>
      <c r="U27" s="9">
        <f>SUM(U17:U26)</f>
        <v>422</v>
      </c>
      <c r="V27" s="110">
        <f t="shared" ref="V27:W27" si="17">SUM(V17:V26)</f>
        <v>151</v>
      </c>
      <c r="W27" s="9">
        <f t="shared" si="17"/>
        <v>258</v>
      </c>
      <c r="X27" s="148">
        <f>SUM(X17:X26)</f>
        <v>409</v>
      </c>
      <c r="Y27" s="9">
        <f>SUM(Y17:Y26)</f>
        <v>3444</v>
      </c>
      <c r="Z27" s="8"/>
      <c r="AA27" s="124">
        <f t="shared" ref="AA27" si="18">SUM(AA17:AA26)</f>
        <v>3186</v>
      </c>
      <c r="AB27" s="9">
        <f t="shared" ref="AB27" si="19">SUM(AB17:AB26)</f>
        <v>258</v>
      </c>
      <c r="AC27" s="148">
        <f>SUM(AC17:AC26)</f>
        <v>3444</v>
      </c>
      <c r="AD27" s="8"/>
    </row>
    <row r="28" spans="2:30" ht="5.5" customHeight="1" x14ac:dyDescent="0.25">
      <c r="B28" s="7"/>
      <c r="C28" s="8"/>
      <c r="E28" s="25"/>
      <c r="G28" s="25"/>
      <c r="I28" s="68"/>
      <c r="K28" s="68"/>
      <c r="M28" s="25"/>
      <c r="N28" s="25"/>
      <c r="O28" s="25"/>
      <c r="P28" s="25"/>
      <c r="Q28" s="25"/>
      <c r="S28" s="25"/>
      <c r="T28" s="25"/>
      <c r="U28" s="25"/>
      <c r="V28" s="107"/>
      <c r="W28" s="25"/>
      <c r="X28" s="145"/>
      <c r="Y28" s="25"/>
      <c r="Z28" s="8"/>
      <c r="AA28" s="121"/>
      <c r="AB28" s="25"/>
      <c r="AC28" s="145"/>
      <c r="AD28" s="8"/>
    </row>
    <row r="29" spans="2:30" ht="13" x14ac:dyDescent="0.3">
      <c r="B29" s="1" t="s">
        <v>36</v>
      </c>
      <c r="C29" s="8"/>
      <c r="E29" s="18">
        <f>+E14-E27</f>
        <v>-5114</v>
      </c>
      <c r="F29" s="12"/>
      <c r="G29" s="18">
        <f>+G14-G27</f>
        <v>-293</v>
      </c>
      <c r="I29" s="18">
        <f>+I14-I27</f>
        <v>73</v>
      </c>
      <c r="K29" s="18">
        <f>+K14-K27</f>
        <v>769</v>
      </c>
      <c r="M29" s="18">
        <f>+M14-M27</f>
        <v>57</v>
      </c>
      <c r="N29" s="18">
        <f>+N14-N27</f>
        <v>122</v>
      </c>
      <c r="O29" s="18">
        <f>+O14-O27</f>
        <v>148</v>
      </c>
      <c r="P29" s="18">
        <f>+P14-P27</f>
        <v>102</v>
      </c>
      <c r="Q29" s="18">
        <f>+Q14-Q27</f>
        <v>429</v>
      </c>
      <c r="S29" s="18">
        <f>+S14-S27</f>
        <v>-1649</v>
      </c>
      <c r="T29" s="18">
        <f>+T14-T27</f>
        <v>-115</v>
      </c>
      <c r="U29" s="18">
        <f>+U14-U27</f>
        <v>-13</v>
      </c>
      <c r="V29" s="108">
        <f t="shared" ref="V29:W29" si="20">+V14-V27</f>
        <v>-2</v>
      </c>
      <c r="W29" s="18">
        <f t="shared" si="20"/>
        <v>-106</v>
      </c>
      <c r="X29" s="146">
        <f>+X14-X27</f>
        <v>-108</v>
      </c>
      <c r="Y29" s="18">
        <f>+Y14-Y27</f>
        <v>-1885</v>
      </c>
      <c r="Z29" s="8"/>
      <c r="AA29" s="122">
        <f t="shared" ref="AA29:AB29" si="21">+AA14-AA27</f>
        <v>-1779</v>
      </c>
      <c r="AB29" s="18">
        <f t="shared" si="21"/>
        <v>-106</v>
      </c>
      <c r="AC29" s="146">
        <f>+AC14-AC27</f>
        <v>-1885</v>
      </c>
      <c r="AD29" s="8"/>
    </row>
    <row r="30" spans="2:30" ht="4.1500000000000004" customHeight="1" x14ac:dyDescent="0.25">
      <c r="B30" s="7"/>
      <c r="C30" s="8"/>
      <c r="E30" s="25"/>
      <c r="G30" s="25"/>
      <c r="I30" s="68"/>
      <c r="K30" s="68"/>
      <c r="M30" s="25"/>
      <c r="N30" s="25"/>
      <c r="O30" s="25"/>
      <c r="P30" s="25"/>
      <c r="Q30" s="25"/>
      <c r="S30" s="25"/>
      <c r="T30" s="25"/>
      <c r="U30" s="25"/>
      <c r="V30" s="107"/>
      <c r="W30" s="25"/>
      <c r="X30" s="145"/>
      <c r="Y30" s="25"/>
      <c r="Z30" s="8"/>
      <c r="AA30" s="121"/>
      <c r="AB30" s="25"/>
      <c r="AC30" s="145"/>
      <c r="AD30" s="8"/>
    </row>
    <row r="31" spans="2:30" ht="13.9" customHeight="1" x14ac:dyDescent="0.3">
      <c r="B31" s="1" t="s">
        <v>37</v>
      </c>
      <c r="C31" s="8"/>
      <c r="E31" s="25"/>
      <c r="G31" s="25"/>
      <c r="I31" s="68"/>
      <c r="K31" s="68"/>
      <c r="M31" s="25"/>
      <c r="N31" s="25"/>
      <c r="O31" s="25"/>
      <c r="P31" s="25"/>
      <c r="Q31" s="25"/>
      <c r="S31" s="25"/>
      <c r="T31" s="25"/>
      <c r="U31" s="25"/>
      <c r="V31" s="107"/>
      <c r="W31" s="25"/>
      <c r="X31" s="145"/>
      <c r="Y31" s="25"/>
      <c r="Z31" s="8"/>
      <c r="AA31" s="121"/>
      <c r="AB31" s="25"/>
      <c r="AC31" s="145"/>
      <c r="AD31" s="8"/>
    </row>
    <row r="32" spans="2:30" ht="13.9" customHeight="1" x14ac:dyDescent="0.25">
      <c r="B32" s="73" t="s">
        <v>74</v>
      </c>
      <c r="C32" s="8"/>
      <c r="E32" s="10">
        <v>0</v>
      </c>
      <c r="G32" s="10">
        <v>0</v>
      </c>
      <c r="I32" s="55">
        <v>0</v>
      </c>
      <c r="K32" s="55">
        <v>0</v>
      </c>
      <c r="M32" s="10">
        <v>0</v>
      </c>
      <c r="N32" s="10">
        <v>0</v>
      </c>
      <c r="O32" s="10">
        <v>0</v>
      </c>
      <c r="P32" s="10">
        <v>0</v>
      </c>
      <c r="Q32" s="10">
        <f t="shared" ref="Q32:Q36" si="22">+M32+N32+O32+P32</f>
        <v>0</v>
      </c>
      <c r="S32" s="10">
        <v>0</v>
      </c>
      <c r="T32" s="10">
        <v>0</v>
      </c>
      <c r="U32" s="10">
        <v>66</v>
      </c>
      <c r="V32" s="108">
        <v>3994</v>
      </c>
      <c r="W32" s="10">
        <v>-3</v>
      </c>
      <c r="X32" s="146">
        <f t="shared" ref="X32:X38" si="23">V32+W32</f>
        <v>3991</v>
      </c>
      <c r="Y32" s="10">
        <f t="shared" ref="Y32:Y43" si="24">+S32+T32+U32+X32</f>
        <v>4057</v>
      </c>
      <c r="Z32" s="8"/>
      <c r="AA32" s="122">
        <f t="shared" ref="AA32:AA36" si="25">+S32+T32+U32+V32</f>
        <v>4060</v>
      </c>
      <c r="AB32" s="10">
        <f t="shared" ref="AB32:AB36" si="26">W32</f>
        <v>-3</v>
      </c>
      <c r="AC32" s="146">
        <f t="shared" ref="AC32:AC36" si="27">AA32+AB32</f>
        <v>4057</v>
      </c>
      <c r="AD32" s="8"/>
    </row>
    <row r="33" spans="2:30" ht="13.9" customHeight="1" x14ac:dyDescent="0.25">
      <c r="B33" s="73" t="s">
        <v>21</v>
      </c>
      <c r="C33" s="8"/>
      <c r="E33" s="10">
        <v>-326</v>
      </c>
      <c r="G33" s="10">
        <v>-328</v>
      </c>
      <c r="I33" s="55">
        <v>-343</v>
      </c>
      <c r="K33" s="55">
        <v>-379</v>
      </c>
      <c r="M33" s="10">
        <v>-100</v>
      </c>
      <c r="N33" s="10">
        <v>-98</v>
      </c>
      <c r="O33" s="10">
        <v>-95</v>
      </c>
      <c r="P33" s="10">
        <v>-90</v>
      </c>
      <c r="Q33" s="10">
        <f t="shared" ref="Q33" si="28">+M33+N33+O33+P33</f>
        <v>-383</v>
      </c>
      <c r="S33" s="10">
        <v>-87</v>
      </c>
      <c r="T33" s="10">
        <v>-85</v>
      </c>
      <c r="U33" s="10">
        <v>-28</v>
      </c>
      <c r="V33" s="108">
        <v>-6</v>
      </c>
      <c r="W33" s="10">
        <v>-11</v>
      </c>
      <c r="X33" s="146">
        <f t="shared" si="23"/>
        <v>-17</v>
      </c>
      <c r="Y33" s="10">
        <f t="shared" ref="Y33" si="29">+S33+T33+U33+X33</f>
        <v>-217</v>
      </c>
      <c r="Z33" s="8"/>
      <c r="AA33" s="122">
        <f t="shared" si="25"/>
        <v>-206</v>
      </c>
      <c r="AB33" s="10">
        <f t="shared" si="26"/>
        <v>-11</v>
      </c>
      <c r="AC33" s="146">
        <f t="shared" si="27"/>
        <v>-217</v>
      </c>
      <c r="AD33" s="8"/>
    </row>
    <row r="34" spans="2:30" ht="13.9" customHeight="1" x14ac:dyDescent="0.25">
      <c r="B34" s="73" t="s">
        <v>48</v>
      </c>
      <c r="C34" s="8"/>
      <c r="E34" s="10">
        <v>20</v>
      </c>
      <c r="G34" s="10">
        <v>805</v>
      </c>
      <c r="I34" s="55">
        <v>4</v>
      </c>
      <c r="K34" s="55">
        <v>57</v>
      </c>
      <c r="M34" s="10">
        <v>6</v>
      </c>
      <c r="N34" s="10">
        <v>20</v>
      </c>
      <c r="O34" s="10">
        <v>82</v>
      </c>
      <c r="P34" s="10">
        <v>18</v>
      </c>
      <c r="Q34" s="10">
        <f t="shared" si="22"/>
        <v>126</v>
      </c>
      <c r="S34" s="10">
        <v>5</v>
      </c>
      <c r="T34" s="10">
        <v>0</v>
      </c>
      <c r="U34" s="10">
        <v>0</v>
      </c>
      <c r="V34" s="108"/>
      <c r="W34" s="10"/>
      <c r="X34" s="146">
        <f t="shared" si="23"/>
        <v>0</v>
      </c>
      <c r="Y34" s="10">
        <f t="shared" si="24"/>
        <v>5</v>
      </c>
      <c r="Z34" s="8"/>
      <c r="AA34" s="122">
        <f t="shared" si="25"/>
        <v>5</v>
      </c>
      <c r="AB34" s="10">
        <f t="shared" si="26"/>
        <v>0</v>
      </c>
      <c r="AC34" s="146">
        <f t="shared" si="27"/>
        <v>5</v>
      </c>
      <c r="AD34" s="8"/>
    </row>
    <row r="35" spans="2:30" ht="13.9" customHeight="1" x14ac:dyDescent="0.25">
      <c r="B35" s="73" t="s">
        <v>47</v>
      </c>
      <c r="C35" s="8"/>
      <c r="E35" s="10">
        <v>0</v>
      </c>
      <c r="G35" s="10">
        <v>30</v>
      </c>
      <c r="I35" s="55">
        <v>21</v>
      </c>
      <c r="K35" s="55">
        <v>5</v>
      </c>
      <c r="M35" s="10">
        <v>0</v>
      </c>
      <c r="N35" s="10">
        <v>0</v>
      </c>
      <c r="O35" s="10">
        <v>0</v>
      </c>
      <c r="P35" s="10">
        <v>0</v>
      </c>
      <c r="Q35" s="55">
        <f t="shared" si="22"/>
        <v>0</v>
      </c>
      <c r="S35" s="10">
        <v>0</v>
      </c>
      <c r="T35" s="10">
        <v>0</v>
      </c>
      <c r="U35" s="10">
        <v>0</v>
      </c>
      <c r="V35" s="108"/>
      <c r="W35" s="10"/>
      <c r="X35" s="146">
        <f t="shared" si="23"/>
        <v>0</v>
      </c>
      <c r="Y35" s="55">
        <f t="shared" si="24"/>
        <v>0</v>
      </c>
      <c r="Z35" s="8"/>
      <c r="AA35" s="122">
        <f t="shared" si="25"/>
        <v>0</v>
      </c>
      <c r="AB35" s="10">
        <f t="shared" si="26"/>
        <v>0</v>
      </c>
      <c r="AC35" s="146">
        <f t="shared" si="27"/>
        <v>0</v>
      </c>
      <c r="AD35" s="8"/>
    </row>
    <row r="36" spans="2:30" ht="13.9" customHeight="1" x14ac:dyDescent="0.25">
      <c r="B36" s="73" t="s">
        <v>75</v>
      </c>
      <c r="C36" s="8"/>
      <c r="E36" s="74">
        <f>-28-28</f>
        <v>-56</v>
      </c>
      <c r="G36" s="74">
        <v>-13</v>
      </c>
      <c r="I36" s="75">
        <v>-17</v>
      </c>
      <c r="K36" s="75">
        <v>-23</v>
      </c>
      <c r="M36" s="74">
        <f>-4-3</f>
        <v>-7</v>
      </c>
      <c r="N36" s="74">
        <v>-3</v>
      </c>
      <c r="O36" s="74">
        <v>-8</v>
      </c>
      <c r="P36" s="74">
        <f>-50-4</f>
        <v>-54</v>
      </c>
      <c r="Q36" s="75">
        <f t="shared" si="22"/>
        <v>-72</v>
      </c>
      <c r="S36" s="74">
        <v>-14</v>
      </c>
      <c r="T36" s="74">
        <v>-47</v>
      </c>
      <c r="U36" s="74">
        <v>-32</v>
      </c>
      <c r="V36" s="111">
        <v>9</v>
      </c>
      <c r="W36" s="74">
        <v>-5</v>
      </c>
      <c r="X36" s="149">
        <f t="shared" si="23"/>
        <v>4</v>
      </c>
      <c r="Y36" s="75">
        <f t="shared" si="24"/>
        <v>-89</v>
      </c>
      <c r="Z36" s="8"/>
      <c r="AA36" s="125">
        <f t="shared" si="25"/>
        <v>-84</v>
      </c>
      <c r="AB36" s="74">
        <f t="shared" si="26"/>
        <v>-5</v>
      </c>
      <c r="AC36" s="149">
        <f t="shared" si="27"/>
        <v>-89</v>
      </c>
      <c r="AD36" s="8"/>
    </row>
    <row r="37" spans="2:30" ht="14.65" customHeight="1" x14ac:dyDescent="0.3">
      <c r="B37" s="1" t="s">
        <v>33</v>
      </c>
      <c r="C37" s="8"/>
      <c r="E37" s="10">
        <f>+E29+E32+E33+E34+E36+E35</f>
        <v>-5476</v>
      </c>
      <c r="G37" s="10">
        <f>+G29+G32+G33+G34+G36+G35</f>
        <v>201</v>
      </c>
      <c r="I37" s="10">
        <f>+I29+I32+I33+I34+I36+I35</f>
        <v>-262</v>
      </c>
      <c r="K37" s="10">
        <f>+K29+K32+K33+K34+K36+K35</f>
        <v>429</v>
      </c>
      <c r="M37" s="10">
        <f t="shared" ref="M37:Q37" si="30">+M29+M32+M33+M34+M36+M35</f>
        <v>-44</v>
      </c>
      <c r="N37" s="10">
        <f t="shared" si="30"/>
        <v>41</v>
      </c>
      <c r="O37" s="10">
        <f t="shared" si="30"/>
        <v>127</v>
      </c>
      <c r="P37" s="10">
        <f t="shared" si="30"/>
        <v>-24</v>
      </c>
      <c r="Q37" s="10">
        <f t="shared" si="30"/>
        <v>100</v>
      </c>
      <c r="S37" s="10">
        <f t="shared" ref="S37" si="31">+S29+S32+S33+S34+S36+S35</f>
        <v>-1745</v>
      </c>
      <c r="T37" s="10">
        <f t="shared" ref="T37" si="32">+T29+T32+T33+T34+T36+T35</f>
        <v>-247</v>
      </c>
      <c r="U37" s="10">
        <f t="shared" ref="U37" si="33">+U29+U32+U33+U34+U36+U35</f>
        <v>-7</v>
      </c>
      <c r="V37" s="108">
        <f t="shared" ref="V37:X37" si="34">+V29+V32+V33+V34+V36+V35</f>
        <v>3995</v>
      </c>
      <c r="W37" s="10">
        <f t="shared" si="34"/>
        <v>-125</v>
      </c>
      <c r="X37" s="146">
        <f t="shared" si="34"/>
        <v>3870</v>
      </c>
      <c r="Y37" s="10">
        <f t="shared" ref="Y37" si="35">+Y29+Y32+Y33+Y34+Y36+Y35</f>
        <v>1871</v>
      </c>
      <c r="Z37" s="8"/>
      <c r="AA37" s="122">
        <f t="shared" ref="AA37:AC37" si="36">+AA29+AA32+AA33+AA34+AA36+AA35</f>
        <v>1996</v>
      </c>
      <c r="AB37" s="10">
        <f t="shared" si="36"/>
        <v>-125</v>
      </c>
      <c r="AC37" s="146">
        <f t="shared" si="36"/>
        <v>1871</v>
      </c>
      <c r="AD37" s="8"/>
    </row>
    <row r="38" spans="2:30" ht="14.65" customHeight="1" x14ac:dyDescent="0.25">
      <c r="B38" s="39" t="s">
        <v>62</v>
      </c>
      <c r="C38" s="8"/>
      <c r="E38" s="10">
        <v>1922</v>
      </c>
      <c r="G38" s="10">
        <v>78</v>
      </c>
      <c r="I38" s="55">
        <v>0</v>
      </c>
      <c r="K38" s="55">
        <v>0</v>
      </c>
      <c r="M38" s="10">
        <v>0</v>
      </c>
      <c r="N38" s="10">
        <v>0</v>
      </c>
      <c r="O38" s="10">
        <v>0</v>
      </c>
      <c r="P38" s="10">
        <v>-1</v>
      </c>
      <c r="Q38" s="55">
        <f t="shared" ref="Q38" si="37">+M38+N38+O38+P38</f>
        <v>-1</v>
      </c>
      <c r="S38" s="10">
        <v>0</v>
      </c>
      <c r="T38" s="10">
        <v>0</v>
      </c>
      <c r="U38" s="10">
        <v>0</v>
      </c>
      <c r="V38" s="108">
        <v>0</v>
      </c>
      <c r="W38" s="10">
        <v>0</v>
      </c>
      <c r="X38" s="146">
        <f t="shared" si="23"/>
        <v>0</v>
      </c>
      <c r="Y38" s="55">
        <f t="shared" si="24"/>
        <v>0</v>
      </c>
      <c r="Z38" s="8"/>
      <c r="AA38" s="125">
        <f t="shared" ref="AA38" si="38">+S38+T38+U38+V38</f>
        <v>0</v>
      </c>
      <c r="AB38" s="74">
        <f t="shared" ref="AB38" si="39">W38</f>
        <v>0</v>
      </c>
      <c r="AC38" s="146">
        <f t="shared" ref="AC38" si="40">AA38+AB38</f>
        <v>0</v>
      </c>
      <c r="AD38" s="8"/>
    </row>
    <row r="39" spans="2:30" s="11" customFormat="1" ht="14.65" customHeight="1" x14ac:dyDescent="0.3">
      <c r="B39" s="1" t="s">
        <v>34</v>
      </c>
      <c r="C39" s="31"/>
      <c r="D39" s="30"/>
      <c r="E39" s="19">
        <f>+E37+E38</f>
        <v>-3554</v>
      </c>
      <c r="F39" s="35"/>
      <c r="G39" s="19">
        <f>+G37+G38</f>
        <v>279</v>
      </c>
      <c r="H39" s="77"/>
      <c r="I39" s="19">
        <f>+I37+I38</f>
        <v>-262</v>
      </c>
      <c r="K39" s="19">
        <f>+K37+K38</f>
        <v>429</v>
      </c>
      <c r="M39" s="19">
        <f>+M37+M38</f>
        <v>-44</v>
      </c>
      <c r="N39" s="19">
        <f>+N37+N38</f>
        <v>41</v>
      </c>
      <c r="O39" s="19">
        <f>+O37+O38</f>
        <v>127</v>
      </c>
      <c r="P39" s="19">
        <f>+P37+P38</f>
        <v>-25</v>
      </c>
      <c r="Q39" s="19">
        <f t="shared" ref="Q39" si="41">+Q37+Q38</f>
        <v>99</v>
      </c>
      <c r="S39" s="19">
        <f>+S37+S38</f>
        <v>-1745</v>
      </c>
      <c r="T39" s="19">
        <f>+T37+T38</f>
        <v>-247</v>
      </c>
      <c r="U39" s="19">
        <f>+U37+U38</f>
        <v>-7</v>
      </c>
      <c r="V39" s="112">
        <f t="shared" ref="V39:W39" si="42">+V37+V38</f>
        <v>3995</v>
      </c>
      <c r="W39" s="19">
        <f t="shared" si="42"/>
        <v>-125</v>
      </c>
      <c r="X39" s="150">
        <f>+X37+X38</f>
        <v>3870</v>
      </c>
      <c r="Y39" s="19">
        <f t="shared" ref="Y39" si="43">+Y37+Y38</f>
        <v>1871</v>
      </c>
      <c r="Z39" s="8"/>
      <c r="AA39" s="126">
        <f t="shared" ref="AA39" si="44">+AA37+AA38</f>
        <v>1996</v>
      </c>
      <c r="AB39" s="19">
        <f t="shared" ref="AB39" si="45">+AB37+AB38</f>
        <v>-125</v>
      </c>
      <c r="AC39" s="150">
        <f>+AC37+AC38</f>
        <v>1871</v>
      </c>
      <c r="AD39" s="8"/>
    </row>
    <row r="40" spans="2:30" s="11" customFormat="1" ht="3.65" customHeight="1" x14ac:dyDescent="0.3">
      <c r="B40" s="1"/>
      <c r="C40" s="31"/>
      <c r="D40" s="30"/>
      <c r="E40" s="18"/>
      <c r="F40" s="35"/>
      <c r="G40" s="18"/>
      <c r="H40" s="77"/>
      <c r="I40" s="18"/>
      <c r="K40" s="18"/>
      <c r="M40" s="18"/>
      <c r="N40" s="18"/>
      <c r="O40" s="18"/>
      <c r="P40" s="18"/>
      <c r="Q40" s="18"/>
      <c r="S40" s="18"/>
      <c r="T40" s="18"/>
      <c r="U40" s="18"/>
      <c r="V40" s="108"/>
      <c r="W40" s="18"/>
      <c r="X40" s="146"/>
      <c r="Y40" s="18"/>
      <c r="Z40" s="8"/>
      <c r="AA40" s="122"/>
      <c r="AB40" s="18"/>
      <c r="AC40" s="146"/>
      <c r="AD40" s="8"/>
    </row>
    <row r="41" spans="2:30" s="11" customFormat="1" ht="14.65" customHeight="1" x14ac:dyDescent="0.3">
      <c r="B41" s="91" t="s">
        <v>60</v>
      </c>
      <c r="C41" s="31"/>
      <c r="D41" s="30"/>
      <c r="E41" s="18"/>
      <c r="F41" s="12"/>
      <c r="G41" s="18"/>
      <c r="H41"/>
      <c r="I41" s="18"/>
      <c r="K41" s="18"/>
      <c r="M41" s="18"/>
      <c r="N41" s="41"/>
      <c r="O41" s="41"/>
      <c r="P41" s="41"/>
      <c r="Q41" s="18"/>
      <c r="R41" s="77"/>
      <c r="S41" s="18"/>
      <c r="T41" s="41"/>
      <c r="U41" s="41"/>
      <c r="V41" s="113"/>
      <c r="W41" s="41"/>
      <c r="X41" s="151"/>
      <c r="Y41" s="18"/>
      <c r="Z41" s="8"/>
      <c r="AA41" s="127"/>
      <c r="AB41" s="41"/>
      <c r="AC41" s="151"/>
      <c r="AD41" s="8"/>
    </row>
    <row r="42" spans="2:30" s="11" customFormat="1" ht="14.65" customHeight="1" x14ac:dyDescent="0.3">
      <c r="B42" s="79" t="s">
        <v>58</v>
      </c>
      <c r="C42" s="31"/>
      <c r="D42" s="30"/>
      <c r="E42" s="18">
        <v>0</v>
      </c>
      <c r="F42"/>
      <c r="G42" s="18">
        <v>0</v>
      </c>
      <c r="H42"/>
      <c r="I42" s="18">
        <v>0</v>
      </c>
      <c r="K42" s="18">
        <v>-99</v>
      </c>
      <c r="M42" s="18">
        <v>-28</v>
      </c>
      <c r="N42" s="41">
        <v>-29</v>
      </c>
      <c r="O42" s="41">
        <v>-30</v>
      </c>
      <c r="P42" s="41">
        <v>-30</v>
      </c>
      <c r="Q42" s="10">
        <f t="shared" ref="Q42:Q43" si="46">+M42+N42+O42+P42</f>
        <v>-117</v>
      </c>
      <c r="S42" s="18">
        <v>-30</v>
      </c>
      <c r="T42" s="41">
        <v>-30</v>
      </c>
      <c r="U42" s="41">
        <v>-25</v>
      </c>
      <c r="V42" s="113">
        <v>-9</v>
      </c>
      <c r="W42" s="41">
        <v>0</v>
      </c>
      <c r="X42" s="146">
        <f t="shared" ref="X42:X43" si="47">V42+W42</f>
        <v>-9</v>
      </c>
      <c r="Y42" s="10">
        <f t="shared" si="24"/>
        <v>-94</v>
      </c>
      <c r="Z42" s="8"/>
      <c r="AA42" s="122">
        <f t="shared" ref="AA42:AA43" si="48">+S42+T42+U42+V42</f>
        <v>-94</v>
      </c>
      <c r="AB42" s="10">
        <f t="shared" ref="AB42:AB43" si="49">W42</f>
        <v>0</v>
      </c>
      <c r="AC42" s="146">
        <f t="shared" ref="AC42:AC43" si="50">AA42+AB42</f>
        <v>-94</v>
      </c>
      <c r="AD42" s="8"/>
    </row>
    <row r="43" spans="2:30" s="11" customFormat="1" ht="14.65" customHeight="1" x14ac:dyDescent="0.3">
      <c r="B43" s="79" t="s">
        <v>59</v>
      </c>
      <c r="C43" s="31"/>
      <c r="D43" s="30"/>
      <c r="E43" s="18">
        <v>0</v>
      </c>
      <c r="F43"/>
      <c r="G43" s="18">
        <v>0</v>
      </c>
      <c r="H43"/>
      <c r="I43" s="18">
        <v>-4</v>
      </c>
      <c r="K43" s="18">
        <v>-2</v>
      </c>
      <c r="M43" s="74">
        <v>5</v>
      </c>
      <c r="N43" s="88">
        <v>0</v>
      </c>
      <c r="O43" s="88">
        <v>-3</v>
      </c>
      <c r="P43" s="88">
        <f>-6-6</f>
        <v>-12</v>
      </c>
      <c r="Q43" s="10">
        <f t="shared" si="46"/>
        <v>-10</v>
      </c>
      <c r="S43" s="74">
        <v>-21</v>
      </c>
      <c r="T43" s="88">
        <v>6</v>
      </c>
      <c r="U43" s="88">
        <v>3</v>
      </c>
      <c r="V43" s="114">
        <v>-1</v>
      </c>
      <c r="W43" s="88">
        <v>2</v>
      </c>
      <c r="X43" s="149">
        <f t="shared" si="47"/>
        <v>1</v>
      </c>
      <c r="Y43" s="10">
        <f t="shared" si="24"/>
        <v>-11</v>
      </c>
      <c r="Z43" s="8"/>
      <c r="AA43" s="125">
        <f t="shared" si="48"/>
        <v>-13</v>
      </c>
      <c r="AB43" s="74">
        <f t="shared" si="49"/>
        <v>2</v>
      </c>
      <c r="AC43" s="149">
        <f t="shared" si="50"/>
        <v>-11</v>
      </c>
      <c r="AD43" s="8"/>
    </row>
    <row r="44" spans="2:30" s="11" customFormat="1" ht="14.65" customHeight="1" x14ac:dyDescent="0.3">
      <c r="B44" s="79" t="s">
        <v>61</v>
      </c>
      <c r="C44" s="31"/>
      <c r="D44" s="30"/>
      <c r="E44" s="19">
        <f>SUM(E42:E43)</f>
        <v>0</v>
      </c>
      <c r="F44"/>
      <c r="G44" s="19">
        <f>SUM(G42:G43)</f>
        <v>0</v>
      </c>
      <c r="H44"/>
      <c r="I44" s="19">
        <f>SUM(I42:I43)</f>
        <v>-4</v>
      </c>
      <c r="K44" s="19">
        <f>SUM(K42:K43)</f>
        <v>-101</v>
      </c>
      <c r="M44" s="18">
        <f>SUM(M42:M43)</f>
        <v>-23</v>
      </c>
      <c r="N44" s="18">
        <f>SUM(N42:N43)</f>
        <v>-29</v>
      </c>
      <c r="O44" s="18">
        <f>SUM(O42:O43)</f>
        <v>-33</v>
      </c>
      <c r="P44" s="18">
        <f>SUM(P42:P43)</f>
        <v>-42</v>
      </c>
      <c r="Q44" s="19">
        <f>SUM(Q42:Q43)</f>
        <v>-127</v>
      </c>
      <c r="S44" s="18">
        <f>SUM(S42:S43)</f>
        <v>-51</v>
      </c>
      <c r="T44" s="18">
        <f>SUM(T42:T43)</f>
        <v>-24</v>
      </c>
      <c r="U44" s="18">
        <f>SUM(U42:U43)</f>
        <v>-22</v>
      </c>
      <c r="V44" s="108">
        <f t="shared" ref="V44:W44" si="51">SUM(V42:V43)</f>
        <v>-10</v>
      </c>
      <c r="W44" s="18">
        <f t="shared" si="51"/>
        <v>2</v>
      </c>
      <c r="X44" s="146">
        <f>SUM(X42:X43)</f>
        <v>-8</v>
      </c>
      <c r="Y44" s="19">
        <f>SUM(Y42:Y43)</f>
        <v>-105</v>
      </c>
      <c r="Z44" s="8"/>
      <c r="AA44" s="122">
        <f t="shared" ref="AA44" si="52">SUM(AA42:AA43)</f>
        <v>-107</v>
      </c>
      <c r="AB44" s="18">
        <f t="shared" ref="AB44" si="53">SUM(AB42:AB43)</f>
        <v>2</v>
      </c>
      <c r="AC44" s="146">
        <f>SUM(AC42:AC43)</f>
        <v>-105</v>
      </c>
      <c r="AD44" s="8"/>
    </row>
    <row r="45" spans="2:30" s="11" customFormat="1" ht="4.1500000000000004" customHeight="1" x14ac:dyDescent="0.3">
      <c r="B45" s="79"/>
      <c r="C45" s="31"/>
      <c r="D45" s="30"/>
      <c r="E45" s="18"/>
      <c r="F45"/>
      <c r="G45" s="18"/>
      <c r="H45"/>
      <c r="I45" s="18"/>
      <c r="K45" s="18"/>
      <c r="M45" s="18"/>
      <c r="N45" s="41"/>
      <c r="O45" s="41"/>
      <c r="P45" s="41"/>
      <c r="Q45" s="18"/>
      <c r="S45" s="18"/>
      <c r="T45" s="41"/>
      <c r="U45" s="41"/>
      <c r="V45" s="113"/>
      <c r="W45" s="41"/>
      <c r="X45" s="151"/>
      <c r="Y45" s="18"/>
      <c r="Z45" s="8"/>
      <c r="AA45" s="127"/>
      <c r="AB45" s="41"/>
      <c r="AC45" s="151"/>
      <c r="AD45" s="8"/>
    </row>
    <row r="46" spans="2:30" ht="14.65" customHeight="1" thickBot="1" x14ac:dyDescent="0.35">
      <c r="B46" s="1" t="s">
        <v>35</v>
      </c>
      <c r="E46" s="78">
        <f>+E39+E44</f>
        <v>-3554</v>
      </c>
      <c r="G46" s="78">
        <f>+G39+G44</f>
        <v>279</v>
      </c>
      <c r="I46" s="78">
        <f>+I39+I44</f>
        <v>-266</v>
      </c>
      <c r="K46" s="78">
        <f>+K39+K44</f>
        <v>328</v>
      </c>
      <c r="M46" s="78">
        <f>+M39+M44</f>
        <v>-67</v>
      </c>
      <c r="N46" s="78">
        <f>+N39+N44</f>
        <v>12</v>
      </c>
      <c r="O46" s="78">
        <f>+O39+O44</f>
        <v>94</v>
      </c>
      <c r="P46" s="78">
        <f>+P39+P44</f>
        <v>-67</v>
      </c>
      <c r="Q46" s="78">
        <f>+Q39+Q44</f>
        <v>-28</v>
      </c>
      <c r="S46" s="78">
        <f>+S39+S44</f>
        <v>-1796</v>
      </c>
      <c r="T46" s="78">
        <f>+T39+T44</f>
        <v>-271</v>
      </c>
      <c r="U46" s="78">
        <f>+U39+U44</f>
        <v>-29</v>
      </c>
      <c r="V46" s="115">
        <f t="shared" ref="V46:W46" si="54">+V39+V44</f>
        <v>3985</v>
      </c>
      <c r="W46" s="78">
        <f t="shared" si="54"/>
        <v>-123</v>
      </c>
      <c r="X46" s="152">
        <f>+X39+X44</f>
        <v>3862</v>
      </c>
      <c r="Y46" s="78">
        <f>+Y39+Y44</f>
        <v>1766</v>
      </c>
      <c r="Z46" s="8"/>
      <c r="AA46" s="128">
        <f t="shared" ref="AA46:AB46" si="55">+AA39+AA44</f>
        <v>1889</v>
      </c>
      <c r="AB46" s="78">
        <f t="shared" si="55"/>
        <v>-123</v>
      </c>
      <c r="AC46" s="152">
        <f>+AC39+AC44</f>
        <v>1766</v>
      </c>
      <c r="AD46" s="8"/>
    </row>
    <row r="47" spans="2:30" ht="13" thickTop="1" x14ac:dyDescent="0.25">
      <c r="C47" s="12"/>
      <c r="E47" s="32"/>
      <c r="O47" s="36"/>
      <c r="U47" s="36"/>
      <c r="V47" s="116"/>
      <c r="W47" s="36"/>
      <c r="X47" s="142"/>
      <c r="AA47" s="129"/>
      <c r="AB47" s="36"/>
      <c r="AC47" s="142"/>
    </row>
    <row r="48" spans="2:30" ht="13" x14ac:dyDescent="0.3">
      <c r="M48" s="11"/>
      <c r="N48" s="11"/>
      <c r="O48" s="36"/>
      <c r="S48" s="11"/>
      <c r="T48" s="11"/>
      <c r="U48" s="36"/>
      <c r="V48" s="116"/>
      <c r="W48" s="36"/>
      <c r="X48" s="142"/>
      <c r="AA48" s="129"/>
      <c r="AB48" s="36"/>
      <c r="AC48" s="142"/>
    </row>
    <row r="49" spans="1:31" ht="16" thickBot="1" x14ac:dyDescent="0.4">
      <c r="B49" s="26" t="s">
        <v>44</v>
      </c>
      <c r="C49" s="28"/>
      <c r="D49" s="44"/>
      <c r="E49" s="44"/>
      <c r="F49" s="28"/>
      <c r="G49" s="28"/>
      <c r="H49" s="28"/>
      <c r="I49" s="28"/>
      <c r="J49" s="28"/>
      <c r="K49" s="28"/>
      <c r="L49" s="28"/>
      <c r="M49" s="28"/>
      <c r="N49" s="28"/>
      <c r="O49" s="44"/>
      <c r="P49" s="28"/>
      <c r="Q49" s="28"/>
      <c r="R49" s="28"/>
      <c r="S49" s="28"/>
      <c r="T49" s="28"/>
      <c r="U49" s="44"/>
      <c r="V49" s="130"/>
      <c r="W49" s="44"/>
      <c r="X49" s="153"/>
      <c r="Y49" s="28"/>
      <c r="AA49" s="118"/>
      <c r="AB49" s="28"/>
      <c r="AC49" s="153"/>
    </row>
    <row r="50" spans="1:31" ht="4.5" customHeight="1" thickTop="1" x14ac:dyDescent="0.35">
      <c r="B50" s="50"/>
      <c r="C50" s="12"/>
      <c r="D50" s="51"/>
      <c r="E50" s="51"/>
      <c r="F50" s="12"/>
      <c r="G50" s="12"/>
      <c r="I50" s="12"/>
      <c r="M50" s="12"/>
      <c r="N50" s="12"/>
      <c r="O50" s="51"/>
      <c r="P50" s="12"/>
      <c r="Q50" s="12"/>
      <c r="S50" s="12"/>
      <c r="T50" s="12"/>
      <c r="U50" s="51"/>
      <c r="V50" s="129"/>
      <c r="W50" s="51"/>
      <c r="X50" s="142"/>
      <c r="Y50" s="12"/>
      <c r="AA50" s="117"/>
      <c r="AC50" s="142"/>
    </row>
    <row r="51" spans="1:31" ht="15.5" x14ac:dyDescent="0.35">
      <c r="B51" s="50"/>
      <c r="C51" s="12"/>
      <c r="E51" s="33">
        <v>2015</v>
      </c>
      <c r="G51" s="33">
        <v>2016</v>
      </c>
      <c r="I51" s="33">
        <f>+I7</f>
        <v>2017</v>
      </c>
      <c r="K51" s="33">
        <f>+K7</f>
        <v>2018</v>
      </c>
      <c r="M51" s="33" t="str">
        <f>+M7</f>
        <v>1Q 2019</v>
      </c>
      <c r="N51" s="33" t="str">
        <f>+N7</f>
        <v>2Q 2019</v>
      </c>
      <c r="O51" s="33" t="str">
        <f>+O7</f>
        <v>3Q 2019</v>
      </c>
      <c r="P51" s="33" t="str">
        <f>+P7</f>
        <v>4Q 2019</v>
      </c>
      <c r="Q51" s="33" t="str">
        <f>+Q7</f>
        <v>Total</v>
      </c>
      <c r="S51" s="33" t="str">
        <f>+S7</f>
        <v>1Q 2020</v>
      </c>
      <c r="T51" s="33" t="str">
        <f>+T7</f>
        <v>2Q 2020</v>
      </c>
      <c r="U51" s="33" t="str">
        <f>+U7</f>
        <v>3Q 2020</v>
      </c>
      <c r="V51" s="119" t="s">
        <v>85</v>
      </c>
      <c r="W51" s="33" t="s">
        <v>84</v>
      </c>
      <c r="X51" s="143" t="str">
        <f>+X7</f>
        <v>4Q 2020</v>
      </c>
      <c r="Y51" s="33" t="str">
        <f>+Y7</f>
        <v>Total</v>
      </c>
      <c r="AA51" s="119" t="s">
        <v>87</v>
      </c>
      <c r="AB51" s="33" t="s">
        <v>88</v>
      </c>
      <c r="AC51" s="143" t="s">
        <v>86</v>
      </c>
    </row>
    <row r="52" spans="1:31" ht="13" x14ac:dyDescent="0.3">
      <c r="A52" t="s">
        <v>22</v>
      </c>
      <c r="B52" s="1" t="s">
        <v>26</v>
      </c>
      <c r="C52" s="2"/>
      <c r="E52" s="36"/>
      <c r="O52" s="36"/>
      <c r="U52" s="36"/>
      <c r="V52" s="129"/>
      <c r="W52" s="36"/>
      <c r="X52" s="142"/>
      <c r="AA52" s="117"/>
      <c r="AC52" s="142"/>
    </row>
    <row r="53" spans="1:31" x14ac:dyDescent="0.25">
      <c r="B53" s="39" t="s">
        <v>43</v>
      </c>
      <c r="C53" s="8"/>
      <c r="E53" s="62">
        <f>E9/(E102)*1000</f>
        <v>36.566767765040524</v>
      </c>
      <c r="G53" s="46">
        <f>G9/(G102)*1000</f>
        <v>31.630502653762097</v>
      </c>
      <c r="I53" s="46">
        <f>I9/(I102)*1000</f>
        <v>41.193242265628321</v>
      </c>
      <c r="K53" s="46">
        <f>K9/(K101)*1000</f>
        <v>53.620968075856069</v>
      </c>
      <c r="M53" s="46">
        <f>M9/(M101)*1000</f>
        <v>50.18370073480294</v>
      </c>
      <c r="N53" s="46">
        <f>N9/(N101)*1000</f>
        <v>49.308991639651936</v>
      </c>
      <c r="O53" s="46">
        <f>O9/(O101)*1000</f>
        <v>46.073922670754563</v>
      </c>
      <c r="P53" s="46">
        <f>P9/(P101)*1000</f>
        <v>48.65964788109352</v>
      </c>
      <c r="Q53" s="46">
        <f>Q9/(Q101)*1000</f>
        <v>48.5925291662207</v>
      </c>
      <c r="S53" s="46">
        <f>S9/(S101)*1000+0.01</f>
        <v>38.924027149321269</v>
      </c>
      <c r="T53" s="46">
        <f>T9/(T101)*1000</f>
        <v>23.960880195599024</v>
      </c>
      <c r="U53" s="46">
        <f>U9/(U101)*1000</f>
        <v>32.135132351426506</v>
      </c>
      <c r="V53" s="131">
        <f>V9/(V101)*1000</f>
        <v>32.771535580524343</v>
      </c>
      <c r="W53" s="46">
        <f>W9/(W101)*1000</f>
        <v>37.811104020421183</v>
      </c>
      <c r="X53" s="154">
        <f>X9/(X101)*1000</f>
        <v>36.106418918918919</v>
      </c>
      <c r="Y53" s="46">
        <f>Y9/(Y101)*1000</f>
        <v>32.851316277345198</v>
      </c>
      <c r="Z53" s="8"/>
      <c r="AA53" s="131">
        <f>AA9/(AA101)*1000</f>
        <v>31.941031941031941</v>
      </c>
      <c r="AB53" s="46">
        <f>AB9/(AB101)*1000</f>
        <v>37.811104020421183</v>
      </c>
      <c r="AC53" s="154">
        <f>AC9/(AC101)*1000</f>
        <v>32.851316277345198</v>
      </c>
      <c r="AD53" s="8"/>
    </row>
    <row r="54" spans="1:31" x14ac:dyDescent="0.25">
      <c r="B54" s="39" t="s">
        <v>46</v>
      </c>
      <c r="C54" s="8"/>
      <c r="E54" s="72">
        <f>E10/(E102)*1000</f>
        <v>2.2789972412138657</v>
      </c>
      <c r="F54" s="34"/>
      <c r="G54" s="72">
        <f>G10/(G102)*1000</f>
        <v>-4.0196690602560103</v>
      </c>
      <c r="I54" s="72">
        <f>I10/(I102)*1000</f>
        <v>-1.9149751053236308</v>
      </c>
      <c r="K54" s="72">
        <f>K10/(K$101)*1000</f>
        <v>2.0703076477164507E-2</v>
      </c>
      <c r="M54" s="72">
        <f>M10/(M$101)*1000</f>
        <v>-7.4315297261189048</v>
      </c>
      <c r="N54" s="72">
        <f>N10/(N$101)*1000</f>
        <v>1.7915031564579424</v>
      </c>
      <c r="O54" s="72">
        <f>O10/(O$101)*1000</f>
        <v>3.1510815874638052</v>
      </c>
      <c r="P54" s="72">
        <f>P10/(P$101)*1000</f>
        <v>-2.4772184375829429</v>
      </c>
      <c r="Q54" s="72">
        <f>Q10/(Q$101)*1000</f>
        <v>-1.2629776303114633</v>
      </c>
      <c r="S54" s="72">
        <f>S10/(S$101)*1000</f>
        <v>7.1493212669683261</v>
      </c>
      <c r="T54" s="72">
        <f>T10/(T$101)*1000</f>
        <v>-0.39119804400977998</v>
      </c>
      <c r="U54" s="72">
        <f>U10/(U$101)*1000</f>
        <v>0</v>
      </c>
      <c r="V54" s="132">
        <f>V10/(V$101)*1000</f>
        <v>4.9937578027465666</v>
      </c>
      <c r="W54" s="72">
        <f>W10/(W$101)*1000</f>
        <v>-22.49521378430121</v>
      </c>
      <c r="X54" s="155">
        <f>X10/(X$101)*1000</f>
        <v>-13.19679054054054</v>
      </c>
      <c r="Y54" s="72">
        <f>Y10/(Y$101)*1000</f>
        <v>-1.2359411692003459</v>
      </c>
      <c r="Z54" s="8"/>
      <c r="AA54" s="132">
        <f>AA10/(AA$101)*1000</f>
        <v>2.6617526617526615</v>
      </c>
      <c r="AB54" s="72">
        <f>AB10/(AB$101)*1000</f>
        <v>-22.49521378430121</v>
      </c>
      <c r="AC54" s="155">
        <f>AC10/(AC$101)*1000</f>
        <v>-1.2359411692003459</v>
      </c>
      <c r="AD54" s="8"/>
    </row>
    <row r="55" spans="1:31" x14ac:dyDescent="0.25">
      <c r="B55" s="39" t="s">
        <v>69</v>
      </c>
      <c r="C55" s="8"/>
      <c r="E55" s="72"/>
      <c r="F55" s="34"/>
      <c r="G55" s="72">
        <f>G11/(G102)*1000</f>
        <v>0.42928504527005928</v>
      </c>
      <c r="I55" s="72">
        <f>I11/(I102)*1000</f>
        <v>0.68088003744840209</v>
      </c>
      <c r="K55" s="72">
        <f>K11/(K$101)*1000</f>
        <v>6.8320152374642875</v>
      </c>
      <c r="M55" s="72">
        <f>M11/(M$101)*1000</f>
        <v>11.272545090180362</v>
      </c>
      <c r="N55" s="72">
        <f>N11/(N$101)*1000</f>
        <v>2.815219245862481</v>
      </c>
      <c r="O55" s="72">
        <f>O11/(O$101)*1000</f>
        <v>5.2801907681825924</v>
      </c>
      <c r="P55" s="72">
        <f>P11/(P$101)*1000</f>
        <v>4.9544368751658858</v>
      </c>
      <c r="Q55" s="72">
        <f>Q11/(Q$101)*1000</f>
        <v>6.1222305469335332</v>
      </c>
      <c r="S55" s="72">
        <f>S11/(S$101)*1000</f>
        <v>4.0723981900452495</v>
      </c>
      <c r="T55" s="72">
        <f>T11/(T$101)*1000</f>
        <v>1.3691931540342299</v>
      </c>
      <c r="U55" s="72">
        <f>U11/(U$101)*1000</f>
        <v>5.1498609537542483</v>
      </c>
      <c r="V55" s="132">
        <f>V11/(V$101)*1000</f>
        <v>4.6816479400749067</v>
      </c>
      <c r="W55" s="72">
        <f>W11/(W$101)*1000</f>
        <v>6.062539885130823</v>
      </c>
      <c r="X55" s="155">
        <f>X11/(X$101)*1000</f>
        <v>5.5954391891891895</v>
      </c>
      <c r="Y55" s="72">
        <f>Y11/(Y$101)*1000</f>
        <v>4.004449388209121</v>
      </c>
      <c r="Z55" s="8"/>
      <c r="AA55" s="132">
        <f>AA11/(AA$101)*1000</f>
        <v>3.627003627003627</v>
      </c>
      <c r="AB55" s="72">
        <f>AB11/(AB$101)*1000</f>
        <v>6.062539885130823</v>
      </c>
      <c r="AC55" s="155">
        <f>AC11/(AC$101)*1000</f>
        <v>4.004449388209121</v>
      </c>
      <c r="AD55" s="8"/>
    </row>
    <row r="56" spans="1:31" x14ac:dyDescent="0.25">
      <c r="B56" s="39" t="s">
        <v>72</v>
      </c>
      <c r="C56" s="8"/>
      <c r="E56" s="72"/>
      <c r="F56" s="34"/>
      <c r="G56" s="72">
        <f>G12/(G102)*1000</f>
        <v>2.0878863565407428</v>
      </c>
      <c r="I56" s="72">
        <f>I12/(I102)*1000</f>
        <v>2.6596876462828205</v>
      </c>
      <c r="K56" s="72">
        <f>K12/(K$101)*1000</f>
        <v>2.2980414889652603</v>
      </c>
      <c r="M56" s="72">
        <f>M12/(M$101)*1000</f>
        <v>2.8390113560454244</v>
      </c>
      <c r="N56" s="72">
        <f>N12/(N$101)*1000</f>
        <v>1.364954785872718</v>
      </c>
      <c r="O56" s="72">
        <f>O12/(O$101)*1000</f>
        <v>3.2362459546925568</v>
      </c>
      <c r="P56" s="72">
        <f>P12/(P$101)*1000</f>
        <v>2.1233300893568079</v>
      </c>
      <c r="Q56" s="72">
        <f>Q12/(Q$101)*1000</f>
        <v>2.3975168575404049</v>
      </c>
      <c r="S56" s="72">
        <f>S12/(S$101)*1000</f>
        <v>1.1764705882352939</v>
      </c>
      <c r="T56" s="72">
        <f>T12/(T$101)*1000-0.01</f>
        <v>1.8481907090464549</v>
      </c>
      <c r="U56" s="72">
        <f>U12/(U$101)*1000</f>
        <v>4.4288804202286531</v>
      </c>
      <c r="V56" s="132">
        <f>V12/(V$101)*1000</f>
        <v>3.4332084893882646</v>
      </c>
      <c r="W56" s="72">
        <f>W12/(W$101)*1000</f>
        <v>2.3931078493937461</v>
      </c>
      <c r="X56" s="155">
        <f>X12/(X$101)*1000</f>
        <v>2.7449324324324325</v>
      </c>
      <c r="Y56" s="72">
        <f>Y12/(Y$101)*1000</f>
        <v>2.496601161784699</v>
      </c>
      <c r="Z56" s="8"/>
      <c r="AA56" s="132">
        <f>AA12/(AA$101)*1000</f>
        <v>2.5155025155025155</v>
      </c>
      <c r="AB56" s="72">
        <f>AB12/(AB$101)*1000</f>
        <v>2.3931078493937461</v>
      </c>
      <c r="AC56" s="155">
        <f>AC12/(AC$101)*1000</f>
        <v>2.496601161784699</v>
      </c>
      <c r="AD56" s="95"/>
      <c r="AE56" s="95"/>
    </row>
    <row r="57" spans="1:31" x14ac:dyDescent="0.25">
      <c r="B57" s="39" t="s">
        <v>27</v>
      </c>
      <c r="C57" s="8"/>
      <c r="E57" s="70">
        <f>E13/(E102)*1000</f>
        <v>2.3304031940232011</v>
      </c>
      <c r="G57" s="48">
        <f>G13/(G102)*1000</f>
        <v>5.853886980955355E-2</v>
      </c>
      <c r="I57" s="48">
        <f>I13/(I102)*1000</f>
        <v>6.3832503510787689E-2</v>
      </c>
      <c r="K57" s="48">
        <f>K13/(K101)*1000</f>
        <v>0.66249844726926421</v>
      </c>
      <c r="M57" s="48">
        <f>M13/(M101)*1000+0.01</f>
        <v>0.76150300601202403</v>
      </c>
      <c r="N57" s="48">
        <f>N13/(N101)*1000</f>
        <v>0.42654837058522438</v>
      </c>
      <c r="O57" s="48">
        <f>O13/(O101)*1000-0.01</f>
        <v>0.24549310168625449</v>
      </c>
      <c r="P57" s="48">
        <f>P13/(P101)*1000+0.01</f>
        <v>0.71777669645226938</v>
      </c>
      <c r="Q57" s="48">
        <f>Q13/(Q101)*1000-0.01</f>
        <v>0.52516001284384028</v>
      </c>
      <c r="S57" s="48">
        <f>S13/(S101)*1000</f>
        <v>0.54298642533936659</v>
      </c>
      <c r="T57" s="48">
        <f>T13/(T101)*1000</f>
        <v>0.19559902200488999</v>
      </c>
      <c r="U57" s="48">
        <f>U13/(U101)*1000</f>
        <v>0.41198887630033987</v>
      </c>
      <c r="V57" s="133">
        <f>V13/(V101)*1000</f>
        <v>0.62421972534332082</v>
      </c>
      <c r="W57" s="48">
        <f>W13/(W101)*1000</f>
        <v>0.47862156987874921</v>
      </c>
      <c r="X57" s="156">
        <f>X13/(X101)*1000</f>
        <v>0.5278716216216216</v>
      </c>
      <c r="Y57" s="48">
        <f>Y13/(Y101)*1000</f>
        <v>0.42021999752811767</v>
      </c>
      <c r="Z57" s="95"/>
      <c r="AA57" s="133">
        <f>AA13/(AA101)*1000-0.01</f>
        <v>0.39950040950040949</v>
      </c>
      <c r="AB57" s="48">
        <f>AB13/(AB101)*1000</f>
        <v>0.47862156987874921</v>
      </c>
      <c r="AC57" s="156">
        <f>AC13/(AC101)*1000</f>
        <v>0.42021999752811767</v>
      </c>
      <c r="AD57" s="95"/>
      <c r="AE57" s="95"/>
    </row>
    <row r="58" spans="1:31" ht="14.5" x14ac:dyDescent="0.25">
      <c r="B58" s="7" t="s">
        <v>76</v>
      </c>
      <c r="C58" s="8"/>
      <c r="E58" s="56">
        <f>SUM(E53:E57)</f>
        <v>41.176168200277587</v>
      </c>
      <c r="G58" s="47">
        <f>SUM(G53:G57)</f>
        <v>30.186543865126442</v>
      </c>
      <c r="H58" s="57"/>
      <c r="I58" s="47">
        <f>SUM(I53:I57)</f>
        <v>42.682667347546705</v>
      </c>
      <c r="K58" s="47">
        <f>SUM(K53:K57)</f>
        <v>63.434226326032046</v>
      </c>
      <c r="M58" s="47">
        <f>SUM(M53:M57)-0.01</f>
        <v>57.615230460921858</v>
      </c>
      <c r="N58" s="47">
        <f>SUM(N53:N57)</f>
        <v>55.7072171984303</v>
      </c>
      <c r="O58" s="56">
        <f>SUM(O53:O57)</f>
        <v>57.986934082779776</v>
      </c>
      <c r="P58" s="56">
        <f>SUM(P53:P57)-0.01</f>
        <v>53.967973104485544</v>
      </c>
      <c r="Q58" s="56">
        <f>SUM(Q53:Q57)+0.01</f>
        <v>56.384458953227011</v>
      </c>
      <c r="S58" s="47">
        <f>SUM(S53:S57)-0.01</f>
        <v>51.85520361990951</v>
      </c>
      <c r="T58" s="47">
        <f>SUM(T53:T57)+0.01</f>
        <v>26.992665036674826</v>
      </c>
      <c r="U58" s="56">
        <f>SUM(U53:U57)</f>
        <v>42.125862601709748</v>
      </c>
      <c r="V58" s="134">
        <f>SUM(V53:V57)-0.01</f>
        <v>46.4943695380774</v>
      </c>
      <c r="W58" s="56">
        <f>SUM(W53:W57)-0.01</f>
        <v>24.24015954052329</v>
      </c>
      <c r="X58" s="157">
        <f>SUM(X53:X57)</f>
        <v>31.777871621621621</v>
      </c>
      <c r="Y58" s="56">
        <f>SUM(Y53:Y57)-0.01</f>
        <v>38.526645655666783</v>
      </c>
      <c r="Z58" s="95"/>
      <c r="AA58" s="134">
        <f>SUM(AA53:AA57)+0.01</f>
        <v>41.154791154791155</v>
      </c>
      <c r="AB58" s="56">
        <f>SUM(AB53:AB57)-0.01</f>
        <v>24.24015954052329</v>
      </c>
      <c r="AC58" s="157">
        <f>SUM(AC53:AC57)-0.01</f>
        <v>38.526645655666783</v>
      </c>
      <c r="AD58" s="95"/>
      <c r="AE58" s="95"/>
    </row>
    <row r="59" spans="1:31" ht="11.5" customHeight="1" x14ac:dyDescent="0.25">
      <c r="B59" s="7"/>
      <c r="C59" s="8"/>
      <c r="E59" s="34"/>
      <c r="G59" s="71"/>
      <c r="I59" s="34"/>
      <c r="K59" s="34"/>
      <c r="M59" s="34"/>
      <c r="N59" s="34"/>
      <c r="O59" s="71"/>
      <c r="P59" s="71"/>
      <c r="Q59" s="71"/>
      <c r="S59" s="34"/>
      <c r="T59" s="34"/>
      <c r="U59" s="71"/>
      <c r="V59" s="135"/>
      <c r="W59" s="71"/>
      <c r="X59" s="158"/>
      <c r="Y59" s="71"/>
      <c r="Z59" s="8"/>
      <c r="AA59" s="135"/>
      <c r="AB59" s="71"/>
      <c r="AC59" s="158"/>
      <c r="AD59" s="95"/>
      <c r="AE59" s="95"/>
    </row>
    <row r="60" spans="1:31" ht="13" x14ac:dyDescent="0.3">
      <c r="B60" s="1" t="s">
        <v>24</v>
      </c>
      <c r="C60" s="8"/>
      <c r="E60" s="34"/>
      <c r="G60" s="34"/>
      <c r="I60" s="34"/>
      <c r="K60" s="34"/>
      <c r="M60" s="34"/>
      <c r="N60" s="34"/>
      <c r="O60" s="71"/>
      <c r="P60" s="71"/>
      <c r="Q60" s="71"/>
      <c r="S60" s="34"/>
      <c r="T60" s="34"/>
      <c r="U60" s="71"/>
      <c r="V60" s="135"/>
      <c r="W60" s="71"/>
      <c r="X60" s="158"/>
      <c r="Y60" s="71"/>
      <c r="Z60" s="8"/>
      <c r="AA60" s="135"/>
      <c r="AB60" s="71"/>
      <c r="AC60" s="158"/>
      <c r="AD60" s="95"/>
      <c r="AE60" s="95"/>
    </row>
    <row r="61" spans="1:31" x14ac:dyDescent="0.25">
      <c r="B61" s="39" t="s">
        <v>28</v>
      </c>
      <c r="C61" s="8"/>
      <c r="E61" s="56">
        <f>E17/(E102)*1000</f>
        <v>16.295687040559294</v>
      </c>
      <c r="G61" s="47">
        <f>G17/(G102)*1000</f>
        <v>15.610365282547612</v>
      </c>
      <c r="I61" s="47">
        <f>I17/(I102)*1000</f>
        <v>18.639091025150009</v>
      </c>
      <c r="K61" s="47">
        <f>K17/(K101)*1000</f>
        <v>18.881205747174029</v>
      </c>
      <c r="M61" s="47">
        <f>M17/(M101)*1000</f>
        <v>19.455577822311291</v>
      </c>
      <c r="N61" s="47">
        <f>N17/(N101)*1000</f>
        <v>19.621225046920323</v>
      </c>
      <c r="O61" s="56">
        <f>O17/(O101)*1000</f>
        <v>18.821325157554082</v>
      </c>
      <c r="P61" s="56">
        <f>P17/(P101)*1000</f>
        <v>18.667610368928603</v>
      </c>
      <c r="Q61" s="56">
        <f>Q17/(Q101)*1000</f>
        <v>19.158728459809481</v>
      </c>
      <c r="S61" s="47">
        <f>S17/(S101)*1000</f>
        <v>17.375565610859731</v>
      </c>
      <c r="T61" s="47">
        <f>T17/(T101)*1000</f>
        <v>12.420537897310513</v>
      </c>
      <c r="U61" s="56">
        <f>U17/(U101)*1000</f>
        <v>14.522607889586981</v>
      </c>
      <c r="V61" s="134">
        <f>V17/(V101)*1000</f>
        <v>15.917602996254683</v>
      </c>
      <c r="W61" s="56">
        <f>W17/(W101)*1000</f>
        <v>18.187619655392467</v>
      </c>
      <c r="X61" s="157">
        <f>X17/(X101)*1000</f>
        <v>17.419763513513516</v>
      </c>
      <c r="Y61" s="56">
        <f>Y17/(Y101)*1000</f>
        <v>15.449264615004326</v>
      </c>
      <c r="Z61" s="8"/>
      <c r="AA61" s="134">
        <f>AA17/(AA101)*1000</f>
        <v>14.946764946764947</v>
      </c>
      <c r="AB61" s="56">
        <f>AB17/(AB101)*1000</f>
        <v>18.187619655392467</v>
      </c>
      <c r="AC61" s="157">
        <f>AC17/(AC101)*1000</f>
        <v>15.449264615004326</v>
      </c>
      <c r="AD61" s="95"/>
      <c r="AE61" s="95"/>
    </row>
    <row r="62" spans="1:31" ht="14.5" x14ac:dyDescent="0.25">
      <c r="B62" s="39" t="s">
        <v>78</v>
      </c>
      <c r="C62" s="8"/>
      <c r="E62" s="56">
        <f>E18/(E102)*1000</f>
        <v>5.60324885621755</v>
      </c>
      <c r="G62" s="47">
        <f>G18/(G102)*1000</f>
        <v>4.5855448017483607</v>
      </c>
      <c r="I62" s="47">
        <f>I18/(I102)*1000</f>
        <v>5.2980977913953788</v>
      </c>
      <c r="K62" s="47">
        <f>K18/(K101)*1000</f>
        <v>6.1902198666721873</v>
      </c>
      <c r="M62" s="47">
        <f>M18/(M101)*1000</f>
        <v>6.9305277221108881</v>
      </c>
      <c r="N62" s="47">
        <f>N18/(N101)*1000</f>
        <v>6.7394642552465447</v>
      </c>
      <c r="O62" s="56">
        <f>O18/(O101)*1000</f>
        <v>5.6208482370975981</v>
      </c>
      <c r="P62" s="56">
        <f>P18/(P101)*1000</f>
        <v>5.4852693975050872</v>
      </c>
      <c r="Q62" s="56">
        <f>Q18/(Q101)*1000</f>
        <v>6.2078561489885473</v>
      </c>
      <c r="S62" s="47">
        <f>S18/(S101)*1000</f>
        <v>5.4298642533936645</v>
      </c>
      <c r="T62" s="47">
        <f>T18/(T101)*1000</f>
        <v>6.7481662591687037</v>
      </c>
      <c r="U62" s="56">
        <f>U18/(U101)*1000</f>
        <v>6.5918220208054379</v>
      </c>
      <c r="V62" s="134">
        <f>V18/(V101)*1000</f>
        <v>5.9300873907615479</v>
      </c>
      <c r="W62" s="56">
        <f>W18/(W101)*1000</f>
        <v>6.3816209317166566</v>
      </c>
      <c r="X62" s="157">
        <f>X18/(X101)*1000</f>
        <v>6.2288851351351351</v>
      </c>
      <c r="Y62" s="56">
        <f>Y18/(Y101)*1000</f>
        <v>6.2291434927697438</v>
      </c>
      <c r="Z62" s="8"/>
      <c r="AA62" s="134">
        <f>AA18/(AA101)*1000</f>
        <v>6.2010062010062006</v>
      </c>
      <c r="AB62" s="56">
        <f>AB18/(AB101)*1000</f>
        <v>6.3816209317166566</v>
      </c>
      <c r="AC62" s="157">
        <f>AC18/(AC101)*1000</f>
        <v>6.2291434927697438</v>
      </c>
      <c r="AD62" s="95"/>
      <c r="AE62" s="95"/>
    </row>
    <row r="63" spans="1:31" x14ac:dyDescent="0.25">
      <c r="B63" s="39" t="s">
        <v>29</v>
      </c>
      <c r="C63" s="8"/>
      <c r="E63" s="56">
        <f>E19/(E102)*1000</f>
        <v>17.203858873524222</v>
      </c>
      <c r="G63" s="47">
        <f>G19/(G102)*1000</f>
        <v>10.907742741180144</v>
      </c>
      <c r="I63" s="47">
        <f>I19/(I102)*1000</f>
        <v>11.574960636622835</v>
      </c>
      <c r="K63" s="47">
        <f>K19/(K101)*1000</f>
        <v>10.392944391536583</v>
      </c>
      <c r="M63" s="47">
        <f>M19/(M101)*1000</f>
        <v>9.8530394121576492</v>
      </c>
      <c r="N63" s="47">
        <f>N19/(N101)*1000</f>
        <v>10.322470568162428</v>
      </c>
      <c r="O63" s="56">
        <f>O19/(O101)*1000</f>
        <v>10.049395332992676</v>
      </c>
      <c r="P63" s="56">
        <f>P19/(P101)*1000</f>
        <v>10.085817924444838</v>
      </c>
      <c r="Q63" s="56">
        <f>Q19/(Q101)*1000</f>
        <v>10.082414641977952</v>
      </c>
      <c r="S63" s="47">
        <f>S19/(S101)*1000</f>
        <v>10.769230769230768</v>
      </c>
      <c r="T63" s="47">
        <f>T19/(T101)*1000</f>
        <v>8.6063569682151577</v>
      </c>
      <c r="U63" s="56">
        <f>U19/(U101)*1000</f>
        <v>9.1667524976825625</v>
      </c>
      <c r="V63" s="134">
        <f>V19/(V101)*1000</f>
        <v>9.9875156054931331</v>
      </c>
      <c r="W63" s="56">
        <f>W19/(W101)*1000</f>
        <v>5.4243777919591576</v>
      </c>
      <c r="X63" s="157">
        <f>X19/(X101)*1000</f>
        <v>6.9679054054054053</v>
      </c>
      <c r="Y63" s="56">
        <f>Y19/(Y101)*1000</f>
        <v>8.9482140650105055</v>
      </c>
      <c r="Z63" s="8"/>
      <c r="AA63" s="134">
        <f>AA19/(AA101)*1000</f>
        <v>9.5940095940095933</v>
      </c>
      <c r="AB63" s="56">
        <f>AB19/(AB101)*1000</f>
        <v>5.4243777919591576</v>
      </c>
      <c r="AC63" s="157">
        <f>AC19/(AC101)*1000</f>
        <v>8.9482140650105055</v>
      </c>
      <c r="AD63" s="95"/>
      <c r="AE63" s="95"/>
    </row>
    <row r="64" spans="1:31" x14ac:dyDescent="0.25">
      <c r="B64" s="39" t="s">
        <v>30</v>
      </c>
      <c r="C64" s="8"/>
      <c r="E64" s="56">
        <f>E20/(E101)*1000</f>
        <v>83.140561010298313</v>
      </c>
      <c r="G64" s="47">
        <v>0</v>
      </c>
      <c r="H64" s="56"/>
      <c r="I64" s="47">
        <v>0</v>
      </c>
      <c r="K64" s="47">
        <v>0</v>
      </c>
      <c r="M64" s="47">
        <f>M20/(M101)*1000</f>
        <v>0</v>
      </c>
      <c r="N64" s="47">
        <f>N20/(N101)*1000</f>
        <v>0</v>
      </c>
      <c r="O64" s="47">
        <f>O20/(O101)*1000</f>
        <v>0</v>
      </c>
      <c r="P64" s="47">
        <f>P20/(P101)*1000</f>
        <v>0</v>
      </c>
      <c r="Q64" s="47">
        <f>Q20/(Q101)*1000</f>
        <v>0</v>
      </c>
      <c r="S64" s="47">
        <f>S20/(S101)*1000</f>
        <v>157.10407239819006</v>
      </c>
      <c r="T64" s="47">
        <v>0</v>
      </c>
      <c r="U64" s="56">
        <v>0</v>
      </c>
      <c r="V64" s="134">
        <v>0</v>
      </c>
      <c r="W64" s="56">
        <f>W20/(W101)*1000</f>
        <v>0</v>
      </c>
      <c r="X64" s="157">
        <v>0</v>
      </c>
      <c r="Y64" s="56">
        <f>Y20/(Y101)*1000</f>
        <v>42.911877394636015</v>
      </c>
      <c r="Z64" s="8"/>
      <c r="AA64" s="134">
        <f>AA20/(AA101)*1000</f>
        <v>50.778050778050776</v>
      </c>
      <c r="AB64" s="56">
        <v>0</v>
      </c>
      <c r="AC64" s="157">
        <f>AC20/(AC101)*1000</f>
        <v>42.911877394636015</v>
      </c>
      <c r="AD64" s="95"/>
      <c r="AE64" s="95"/>
    </row>
    <row r="65" spans="2:31" x14ac:dyDescent="0.25">
      <c r="B65" s="39" t="s">
        <v>31</v>
      </c>
      <c r="C65" s="8"/>
      <c r="E65" s="56">
        <f>E21/(E102)*1000</f>
        <v>3.0843571685601194</v>
      </c>
      <c r="G65" s="47">
        <f>G21/(G102)*1000</f>
        <v>2.8098657508585703</v>
      </c>
      <c r="I65" s="47">
        <f>I21/(I102)*1000</f>
        <v>2.8937401591557088</v>
      </c>
      <c r="K65" s="47">
        <f>K21/(K101)*1000</f>
        <v>3.0847583950975115</v>
      </c>
      <c r="M65" s="47">
        <f>M21/(M101)*1000</f>
        <v>3.4235136940547761</v>
      </c>
      <c r="N65" s="47">
        <f>N21/(N101)*1000</f>
        <v>3.0711482682136153</v>
      </c>
      <c r="O65" s="56">
        <f>O21/(O101)*1000</f>
        <v>3.5769034236075625</v>
      </c>
      <c r="P65" s="56">
        <f>P21/(P101)*1000</f>
        <v>3.3619393081482789</v>
      </c>
      <c r="Q65" s="56">
        <f>Q21/(Q101)*1000</f>
        <v>3.3608048806593169</v>
      </c>
      <c r="S65" s="47">
        <f>S21/(S101)*1000</f>
        <v>3.7104072398190047</v>
      </c>
      <c r="T65" s="47">
        <f>T21/(T101)*1000</f>
        <v>3.7163814180929098</v>
      </c>
      <c r="U65" s="56">
        <f>U21/(U101)*1000</f>
        <v>4.3258832011535686</v>
      </c>
      <c r="V65" s="134">
        <f>V21/(V101)*1000</f>
        <v>4.0574282147315861</v>
      </c>
      <c r="W65" s="56">
        <f>W21/(W101)*1000</f>
        <v>1.5954052329291641</v>
      </c>
      <c r="X65" s="157">
        <f>X21/(X101)*1000</f>
        <v>2.4282094594594592</v>
      </c>
      <c r="Y65" s="56">
        <f>Y21/(Y101)*1000</f>
        <v>3.5595105672969969</v>
      </c>
      <c r="Z65" s="8"/>
      <c r="AA65" s="134">
        <f>AA21/(AA101)*1000</f>
        <v>3.9195039195039194</v>
      </c>
      <c r="AB65" s="56">
        <f>AB21/(AB101)*1000</f>
        <v>1.5954052329291641</v>
      </c>
      <c r="AC65" s="157">
        <f>AC21/(AC101)*1000</f>
        <v>3.5595105672969969</v>
      </c>
      <c r="AD65" s="95"/>
      <c r="AE65" s="95"/>
    </row>
    <row r="66" spans="2:31" x14ac:dyDescent="0.25">
      <c r="B66" s="39" t="s">
        <v>32</v>
      </c>
      <c r="C66" s="8"/>
      <c r="E66" s="56">
        <f>E22/(E102)*1000</f>
        <v>0.6168714337120238</v>
      </c>
      <c r="G66" s="47">
        <f>G22/G102*1000</f>
        <v>0.44879800187324381</v>
      </c>
      <c r="I66" s="47">
        <f>I22/(I102)*1000</f>
        <v>0.46810502574577639</v>
      </c>
      <c r="K66" s="47">
        <f>K22/(K$101)*1000</f>
        <v>0.70390460022359325</v>
      </c>
      <c r="M66" s="47">
        <f>M22/(M$101)*1000</f>
        <v>0.83500334001336007</v>
      </c>
      <c r="N66" s="47">
        <f>N22/(N$101)*1000</f>
        <v>0.85309674117044876</v>
      </c>
      <c r="O66" s="56">
        <f>O22/(O$101)*1000</f>
        <v>0.42582183614375746</v>
      </c>
      <c r="P66" s="56">
        <f>P22/(P$101)*1000</f>
        <v>0.35388834822613469</v>
      </c>
      <c r="Q66" s="56">
        <f>Q22/(Q$101)*1000</f>
        <v>0.62078561489885475</v>
      </c>
      <c r="S66" s="47">
        <f>S22/(S$101)*1000</f>
        <v>0.45248868778280543</v>
      </c>
      <c r="T66" s="47">
        <f>T22/(T$101)*1000</f>
        <v>0.19559902200488999</v>
      </c>
      <c r="U66" s="56">
        <f>U22/(U$101)*1000</f>
        <v>0.20599443815016993</v>
      </c>
      <c r="V66" s="134">
        <f>V22/(V$101)*1000</f>
        <v>0.31210986267166041</v>
      </c>
      <c r="W66" s="56">
        <f>W22/(W$101)*1000</f>
        <v>0.1595405232929164</v>
      </c>
      <c r="X66" s="157">
        <f>X22/(X$101)*1000</f>
        <v>0.21114864864864866</v>
      </c>
      <c r="Y66" s="56">
        <f>Y22/(Y$101)*1000</f>
        <v>0.2719070572240761</v>
      </c>
      <c r="Z66" s="8"/>
      <c r="AA66" s="134">
        <f>AA22/(AA$101)*1000</f>
        <v>0.29250029250029247</v>
      </c>
      <c r="AB66" s="56">
        <f>AB22/(AB$101)*1000</f>
        <v>0.1595405232929164</v>
      </c>
      <c r="AC66" s="157">
        <f>AC22/(AC$101)*1000</f>
        <v>0.2719070572240761</v>
      </c>
      <c r="AD66" s="95"/>
      <c r="AE66" s="95"/>
    </row>
    <row r="67" spans="2:31" ht="14.5" x14ac:dyDescent="0.25">
      <c r="B67" s="39" t="s">
        <v>81</v>
      </c>
      <c r="C67" s="8"/>
      <c r="E67" s="56"/>
      <c r="G67" s="47">
        <f>G23/G102*1000</f>
        <v>0</v>
      </c>
      <c r="I67" s="47">
        <f>I23/(I102)*1000</f>
        <v>0</v>
      </c>
      <c r="K67" s="47">
        <f>K23/(K$101)*1000</f>
        <v>5.175769119291127</v>
      </c>
      <c r="M67" s="47">
        <f>M23/(M$101)*1000</f>
        <v>8.3500334001336007</v>
      </c>
      <c r="N67" s="47">
        <f>N23/(N$101)*1000</f>
        <v>2.1327418529261215</v>
      </c>
      <c r="O67" s="56">
        <f>O23/(O$101)*1000</f>
        <v>3.832396525293817</v>
      </c>
      <c r="P67" s="56">
        <f>P23/(P$101)*1000</f>
        <v>2.7426346987525436</v>
      </c>
      <c r="Q67" s="56">
        <f>Q23/(Q$101)*1000</f>
        <v>4.3026865032644759</v>
      </c>
      <c r="S67" s="47">
        <f>S23/(S$101)*1000</f>
        <v>2.1719457013574663</v>
      </c>
      <c r="T67" s="47">
        <f>T23/(T$101)*1000</f>
        <v>0.78239608801955995</v>
      </c>
      <c r="U67" s="56">
        <f>U23/(U$101)*1000</f>
        <v>3.6049026676279738</v>
      </c>
      <c r="V67" s="134">
        <f>V23/(V$101)*1000</f>
        <v>3.4332084893882646</v>
      </c>
      <c r="W67" s="56">
        <f>W23/(W$101)*1000</f>
        <v>3.8289725590299937</v>
      </c>
      <c r="X67" s="157">
        <f>X23/(X$101)*1000</f>
        <v>3.6951013513513513</v>
      </c>
      <c r="Y67" s="56">
        <f>Y23/(Y$101)*1000</f>
        <v>2.5213199851687058</v>
      </c>
      <c r="Z67" s="8"/>
      <c r="AA67" s="134">
        <f>AA23/(AA$101)*1000</f>
        <v>2.2815022815022816</v>
      </c>
      <c r="AB67" s="56">
        <f>AB23/(AB$101)*1000</f>
        <v>3.8289725590299937</v>
      </c>
      <c r="AC67" s="157">
        <f>AC23/(AC$101)*1000</f>
        <v>2.5213199851687058</v>
      </c>
      <c r="AD67" s="95"/>
      <c r="AE67" s="95"/>
    </row>
    <row r="68" spans="2:31" x14ac:dyDescent="0.25">
      <c r="B68" s="39" t="s">
        <v>73</v>
      </c>
      <c r="C68" s="8"/>
      <c r="E68" s="56"/>
      <c r="G68" s="47">
        <f>G24/G102*1000</f>
        <v>1.2098033093974399</v>
      </c>
      <c r="I68" s="47">
        <f>I24/(I102)*1000</f>
        <v>1.3830375760670666</v>
      </c>
      <c r="K68" s="47">
        <f>K24/(K$101)*1000</f>
        <v>1.2628876651070349</v>
      </c>
      <c r="M68" s="47">
        <f>M24/(M$101)*1000</f>
        <v>2.0040080160320639</v>
      </c>
      <c r="N68" s="47">
        <f>N24/(N$101)*1000</f>
        <v>0.76778706705340383</v>
      </c>
      <c r="O68" s="56">
        <f>O24/(O$101)*1000</f>
        <v>1.532958610117527</v>
      </c>
      <c r="P68" s="56">
        <f>P24/(P$101)*1000</f>
        <v>1.5040254799610724</v>
      </c>
      <c r="Q68" s="56">
        <f>Q24/(Q$101)*1000</f>
        <v>1.4556352349352455</v>
      </c>
      <c r="S68" s="47">
        <f>S24/(S$101)*1000</f>
        <v>1.4479638009049773</v>
      </c>
      <c r="T68" s="47">
        <f>T24/(T$101)*1000</f>
        <v>1.3691931540342299</v>
      </c>
      <c r="U68" s="56">
        <f>U24/(U$101)*1000</f>
        <v>1.7509527242764444</v>
      </c>
      <c r="V68" s="134">
        <f>V24/(V$101)*1000</f>
        <v>1.8726591760299625</v>
      </c>
      <c r="W68" s="56">
        <f>W24/(W$101)*1000</f>
        <v>1.5954052329291641</v>
      </c>
      <c r="X68" s="157">
        <f>X24/(X$101)*1000</f>
        <v>1.6891891891891893</v>
      </c>
      <c r="Y68" s="56">
        <f>Y24/(Y$101)*1000</f>
        <v>1.5572858731924359</v>
      </c>
      <c r="Z68" s="8"/>
      <c r="AA68" s="134">
        <f>AA24/(AA$101)*1000</f>
        <v>1.5502515502515501</v>
      </c>
      <c r="AB68" s="56">
        <f>AB24/(AB$101)*1000</f>
        <v>1.5954052329291641</v>
      </c>
      <c r="AC68" s="157">
        <f>AC24/(AC$101)*1000</f>
        <v>1.5572858731924359</v>
      </c>
      <c r="AD68" s="95"/>
      <c r="AE68" s="95"/>
    </row>
    <row r="69" spans="2:31" ht="14.5" x14ac:dyDescent="0.25">
      <c r="B69" s="39" t="s">
        <v>82</v>
      </c>
      <c r="C69" s="8"/>
      <c r="E69" s="56"/>
      <c r="G69" s="47">
        <f>G25/G102*1000</f>
        <v>0</v>
      </c>
      <c r="I69" s="47">
        <f>I25/(I102)*1000</f>
        <v>0</v>
      </c>
      <c r="K69" s="47">
        <f>K25/(K$101)*1000</f>
        <v>0.74531075317792228</v>
      </c>
      <c r="M69" s="47">
        <f>M25/(M$101)*1000</f>
        <v>0.91850367401469601</v>
      </c>
      <c r="N69" s="47">
        <f>N25/(N$101)*1000</f>
        <v>0.76778706705340383</v>
      </c>
      <c r="O69" s="56">
        <f>O25/(O$101)*1000</f>
        <v>0.85164367228751492</v>
      </c>
      <c r="P69" s="56">
        <f>P25/(P$101)*1000</f>
        <v>0.88472087056533655</v>
      </c>
      <c r="Q69" s="56">
        <f>Q25/(Q$101)*1000</f>
        <v>0.85625602055014449</v>
      </c>
      <c r="S69" s="47">
        <f>S25/(S$101)*1000</f>
        <v>1.1764705882352939</v>
      </c>
      <c r="T69" s="47">
        <f>T25/(T$101)*1000</f>
        <v>0.78239608801955995</v>
      </c>
      <c r="U69" s="56">
        <f>U25/(U$101)*1000</f>
        <v>1.0299721907508497</v>
      </c>
      <c r="V69" s="134">
        <f>V25/(V$101)*1000-0.01</f>
        <v>1.2384394506866416</v>
      </c>
      <c r="W69" s="56">
        <f>W25/(W$101)*1000</f>
        <v>1.2763241863433312</v>
      </c>
      <c r="X69" s="157">
        <f>X25/(X$101)*1000</f>
        <v>1.2668918918918919</v>
      </c>
      <c r="Y69" s="56">
        <f>Y25/(Y$101)*1000</f>
        <v>1.0629094055122976</v>
      </c>
      <c r="Z69" s="8"/>
      <c r="AA69" s="134">
        <f>AA25/(AA$101)*1000</f>
        <v>1.0237510237510237</v>
      </c>
      <c r="AB69" s="56">
        <f>AB25/(AB$101)*1000</f>
        <v>1.2763241863433312</v>
      </c>
      <c r="AC69" s="157">
        <f>AC25/(AC$101)*1000</f>
        <v>1.0629094055122976</v>
      </c>
      <c r="AD69" s="95"/>
      <c r="AE69" s="95"/>
    </row>
    <row r="70" spans="2:31" x14ac:dyDescent="0.25">
      <c r="B70" s="39" t="s">
        <v>83</v>
      </c>
      <c r="C70" s="8"/>
      <c r="E70" s="70">
        <f>E26/(E102)*1000</f>
        <v>2.8615980397196661</v>
      </c>
      <c r="G70" s="48">
        <f>G26/(G102)*1000</f>
        <v>0.33172026225413676</v>
      </c>
      <c r="I70" s="48">
        <f>I26/(I102)*1000</f>
        <v>0.87237754798076517</v>
      </c>
      <c r="K70" s="48">
        <f>K26/(K101)*1000-0.01</f>
        <v>1.0665599768125544</v>
      </c>
      <c r="M70" s="48">
        <f>M26/(M101)*1000</f>
        <v>1.0855043420173682</v>
      </c>
      <c r="N70" s="48">
        <f>N26/(N101)*1000+0.01</f>
        <v>1.0337160894045385</v>
      </c>
      <c r="O70" s="70">
        <f>O26/(O101)*1000+0.01</f>
        <v>0.69131493783001197</v>
      </c>
      <c r="P70" s="70">
        <f>P26/(P101)*1000+0.01</f>
        <v>1.8679138281872067</v>
      </c>
      <c r="Q70" s="70">
        <f>Q26/(Q101)*1000</f>
        <v>1.1559456277426952</v>
      </c>
      <c r="S70" s="48">
        <f>S26/(S101)*1000-0.01</f>
        <v>1.4379638009049773</v>
      </c>
      <c r="T70" s="48">
        <f>T26/(T101)*1000-0.01</f>
        <v>3.6085819070904646</v>
      </c>
      <c r="U70" s="70">
        <f>U26/(U101)*1000</f>
        <v>2.2659388196518693</v>
      </c>
      <c r="V70" s="136">
        <f>V26/(V101)*1000-0.01</f>
        <v>4.3595380774032462</v>
      </c>
      <c r="W70" s="70">
        <f>W26/(W101)*1000-0.01</f>
        <v>2.702188895979579</v>
      </c>
      <c r="X70" s="159">
        <f>X26/(X101)*1000</f>
        <v>3.2728040540540539</v>
      </c>
      <c r="Y70" s="70">
        <f>Y26/(Y101)*1000</f>
        <v>2.6201952787047338</v>
      </c>
      <c r="Z70" s="95"/>
      <c r="AA70" s="136">
        <f>AA26/(AA101)*1000</f>
        <v>2.6032526032526033</v>
      </c>
      <c r="AB70" s="70">
        <f>AB26/(AB101)*1000-0.01</f>
        <v>2.702188895979579</v>
      </c>
      <c r="AC70" s="159">
        <f>AC26/(AC101)*1000</f>
        <v>2.6201952787047338</v>
      </c>
      <c r="AD70" s="95"/>
      <c r="AE70" s="95"/>
    </row>
    <row r="71" spans="2:31" x14ac:dyDescent="0.25">
      <c r="B71" s="7" t="s">
        <v>25</v>
      </c>
      <c r="C71" s="8"/>
      <c r="E71" s="56">
        <f>SUM(E61:E70)-0.01</f>
        <v>128.79618242259119</v>
      </c>
      <c r="G71" s="47">
        <f>SUM(G61:G70)+0.01</f>
        <v>35.913840149859503</v>
      </c>
      <c r="I71" s="47">
        <f>SUM(I61:I70)</f>
        <v>41.129409762117547</v>
      </c>
      <c r="K71" s="47">
        <f>SUM(K61:K70)</f>
        <v>47.503560515092545</v>
      </c>
      <c r="M71" s="47">
        <f>SUM(M61:M70)</f>
        <v>52.855711422845694</v>
      </c>
      <c r="N71" s="47">
        <f>SUM(N61:N70)-0.01</f>
        <v>45.299436956150828</v>
      </c>
      <c r="O71" s="56">
        <f>SUM(O61:O70)</f>
        <v>45.402607732924544</v>
      </c>
      <c r="P71" s="56">
        <f>SUM(P61:P70)</f>
        <v>44.953820224719109</v>
      </c>
      <c r="Q71" s="56">
        <f>SUM(Q61:Q70)+0.01</f>
        <v>47.211113132826711</v>
      </c>
      <c r="S71" s="47">
        <f>SUM(S61:S70)</f>
        <v>201.07597285067877</v>
      </c>
      <c r="T71" s="47">
        <f>SUM(T61:T70)+0.01</f>
        <v>38.239608801955988</v>
      </c>
      <c r="U71" s="56">
        <f>SUM(U61:U70)+0.01</f>
        <v>43.474826449685857</v>
      </c>
      <c r="V71" s="134">
        <f>SUM(V61:V70)</f>
        <v>47.108589263420718</v>
      </c>
      <c r="W71" s="56">
        <f>SUM(W61:W70)+0.01</f>
        <v>41.161455009572435</v>
      </c>
      <c r="X71" s="157">
        <f>SUM(X61:X70)+0.01</f>
        <v>43.189898648648651</v>
      </c>
      <c r="Y71" s="56">
        <f>SUM(Y61:Y70)</f>
        <v>85.131627734519824</v>
      </c>
      <c r="Z71" s="95"/>
      <c r="AA71" s="134">
        <f>SUM(AA61:AA70)-0.01</f>
        <v>93.180593190593171</v>
      </c>
      <c r="AB71" s="56">
        <f t="shared" ref="AB71" si="56">SUM(AB61:AB70)+0.01</f>
        <v>41.161455009572435</v>
      </c>
      <c r="AC71" s="157">
        <f>SUM(AC61:AC70)</f>
        <v>85.131627734519824</v>
      </c>
      <c r="AD71" s="95"/>
      <c r="AE71" s="95"/>
    </row>
    <row r="72" spans="2:31" ht="6" customHeight="1" x14ac:dyDescent="0.25">
      <c r="B72" s="7"/>
      <c r="C72" s="8"/>
      <c r="E72" s="47"/>
      <c r="G72" s="47"/>
      <c r="I72" s="47"/>
      <c r="K72" s="47"/>
      <c r="M72" s="47"/>
      <c r="N72" s="47"/>
      <c r="O72" s="56"/>
      <c r="P72" s="56"/>
      <c r="Q72" s="56"/>
      <c r="S72" s="47"/>
      <c r="T72" s="47"/>
      <c r="U72" s="56"/>
      <c r="V72" s="134"/>
      <c r="W72" s="56"/>
      <c r="X72" s="157"/>
      <c r="Y72" s="56"/>
      <c r="Z72" s="8"/>
      <c r="AA72" s="134"/>
      <c r="AB72" s="56"/>
      <c r="AC72" s="157"/>
      <c r="AD72" s="95"/>
      <c r="AE72" s="95"/>
    </row>
    <row r="73" spans="2:31" ht="13" x14ac:dyDescent="0.3">
      <c r="B73" s="1" t="s">
        <v>36</v>
      </c>
      <c r="C73" s="8"/>
      <c r="E73" s="47">
        <f>+E58-E71</f>
        <v>-87.6200142223136</v>
      </c>
      <c r="G73" s="47">
        <f>+G58-G71+0.01</f>
        <v>-5.7172962847330613</v>
      </c>
      <c r="I73" s="47">
        <f>+I58-I71</f>
        <v>1.5532575854291579</v>
      </c>
      <c r="K73" s="47">
        <f>+K58-K71</f>
        <v>15.930665810939502</v>
      </c>
      <c r="M73" s="47">
        <f t="shared" ref="M73:Q73" si="57">+M58-M71</f>
        <v>4.7595190380761636</v>
      </c>
      <c r="N73" s="47">
        <f t="shared" si="57"/>
        <v>10.407780242279472</v>
      </c>
      <c r="O73" s="47">
        <f>+O58-O71+0.01</f>
        <v>12.594326349855232</v>
      </c>
      <c r="P73" s="47">
        <f>+P58-P71+0.01</f>
        <v>9.0241528797664348</v>
      </c>
      <c r="Q73" s="47">
        <f t="shared" si="57"/>
        <v>9.1733458204003</v>
      </c>
      <c r="S73" s="47">
        <f>+S58-S71</f>
        <v>-149.22076923076926</v>
      </c>
      <c r="T73" s="47">
        <f>+T58-T71</f>
        <v>-11.246943765281163</v>
      </c>
      <c r="U73" s="56">
        <f>+U58-U71+0.01</f>
        <v>-1.3389638479761083</v>
      </c>
      <c r="V73" s="134">
        <f>+V58-V71-0.01</f>
        <v>-0.62421972534331815</v>
      </c>
      <c r="W73" s="56">
        <f>+W58-W71</f>
        <v>-16.921295469049145</v>
      </c>
      <c r="X73" s="157">
        <f>+X58-X71</f>
        <v>-11.41202702702703</v>
      </c>
      <c r="Y73" s="56">
        <f>+Y58-Y71</f>
        <v>-46.604982078853041</v>
      </c>
      <c r="Z73" s="95"/>
      <c r="AA73" s="134">
        <f>+AA58-AA71</f>
        <v>-52.025802035802016</v>
      </c>
      <c r="AB73" s="56">
        <f>+AB58-AB71</f>
        <v>-16.921295469049145</v>
      </c>
      <c r="AC73" s="157">
        <f>+AC58-AC71</f>
        <v>-46.604982078853041</v>
      </c>
      <c r="AD73" s="95"/>
      <c r="AE73" s="95"/>
    </row>
    <row r="74" spans="2:31" ht="4.9000000000000004" customHeight="1" x14ac:dyDescent="0.3">
      <c r="B74" s="1"/>
      <c r="C74" s="8"/>
      <c r="E74" s="47"/>
      <c r="G74" s="47"/>
      <c r="I74" s="47"/>
      <c r="K74" s="47"/>
      <c r="M74" s="47"/>
      <c r="N74" s="47"/>
      <c r="O74" s="56"/>
      <c r="P74" s="56"/>
      <c r="Q74" s="56"/>
      <c r="S74" s="47"/>
      <c r="T74" s="47"/>
      <c r="U74" s="56"/>
      <c r="V74" s="134"/>
      <c r="W74" s="56"/>
      <c r="X74" s="157"/>
      <c r="Y74" s="56"/>
      <c r="Z74" s="8"/>
      <c r="AA74" s="134"/>
      <c r="AB74" s="56"/>
      <c r="AC74" s="157"/>
      <c r="AD74" s="95"/>
      <c r="AE74" s="95"/>
    </row>
    <row r="75" spans="2:31" ht="13.9" customHeight="1" x14ac:dyDescent="0.3">
      <c r="B75" s="1" t="s">
        <v>37</v>
      </c>
      <c r="C75" s="8"/>
      <c r="E75" s="47"/>
      <c r="G75" s="47"/>
      <c r="I75" s="47"/>
      <c r="K75" s="47"/>
      <c r="M75" s="47"/>
      <c r="N75" s="47"/>
      <c r="O75" s="56"/>
      <c r="P75" s="56"/>
      <c r="Q75" s="56"/>
      <c r="S75" s="47"/>
      <c r="T75" s="47"/>
      <c r="U75" s="56"/>
      <c r="V75" s="134"/>
      <c r="W75" s="56"/>
      <c r="X75" s="157"/>
      <c r="Y75" s="56"/>
      <c r="Z75" s="8"/>
      <c r="AA75" s="134"/>
      <c r="AB75" s="56"/>
      <c r="AC75" s="157"/>
      <c r="AD75" s="95"/>
      <c r="AE75" s="95"/>
    </row>
    <row r="76" spans="2:31" ht="13.9" customHeight="1" x14ac:dyDescent="0.25">
      <c r="B76" s="73" t="s">
        <v>74</v>
      </c>
      <c r="C76" s="8"/>
      <c r="E76" s="47">
        <f>ROUND(E32/(E102)*1000,2)</f>
        <v>0</v>
      </c>
      <c r="F76" s="22"/>
      <c r="G76" s="47">
        <f>ROUND(G32/(G102)*1000,2)</f>
        <v>0</v>
      </c>
      <c r="I76" s="47">
        <f>ROUND(I32/(I102)*1000,2)</f>
        <v>0</v>
      </c>
      <c r="K76" s="47">
        <f>K32/(K101)*1000</f>
        <v>0</v>
      </c>
      <c r="M76" s="47">
        <f>M32/(M101)*1000</f>
        <v>0</v>
      </c>
      <c r="N76" s="47">
        <f>N32/(N101)*1000</f>
        <v>0</v>
      </c>
      <c r="O76" s="56">
        <f>O32/(O101)*1000</f>
        <v>0</v>
      </c>
      <c r="P76" s="56">
        <f>P32/(P101)*1000</f>
        <v>0</v>
      </c>
      <c r="Q76" s="56">
        <f>Q32/(Q101)*1000</f>
        <v>0</v>
      </c>
      <c r="S76" s="47">
        <f>S32/(S101)*1000</f>
        <v>0</v>
      </c>
      <c r="T76" s="47">
        <f>T32/(T101)*1000</f>
        <v>0</v>
      </c>
      <c r="U76" s="56">
        <f>U32/(U101)*1000</f>
        <v>6.7978164589556078</v>
      </c>
      <c r="V76" s="134">
        <f>V32/(V101)*1000</f>
        <v>1246.5667915106119</v>
      </c>
      <c r="W76" s="56">
        <f>W32/(W101)*1000</f>
        <v>-0.47862156987874921</v>
      </c>
      <c r="X76" s="157">
        <f>X32/(X101)*1000</f>
        <v>421.34712837837839</v>
      </c>
      <c r="Y76" s="56">
        <f>Y32/(Y101)*1000</f>
        <v>100.28426646891609</v>
      </c>
      <c r="Z76" s="8"/>
      <c r="AA76" s="134">
        <f>AA32/(AA101)*1000</f>
        <v>118.75511875511876</v>
      </c>
      <c r="AB76" s="56">
        <f>AB32/(AB101)*1000</f>
        <v>-0.47862156987874921</v>
      </c>
      <c r="AC76" s="157">
        <f>AC32/(AC101)*1000</f>
        <v>100.28426646891609</v>
      </c>
      <c r="AD76" s="95"/>
      <c r="AE76" s="95"/>
    </row>
    <row r="77" spans="2:31" ht="13.9" customHeight="1" x14ac:dyDescent="0.25">
      <c r="B77" s="73" t="s">
        <v>21</v>
      </c>
      <c r="C77" s="8"/>
      <c r="E77" s="47">
        <f>ROUND(E33/(E102)*1000,2)</f>
        <v>-5.59</v>
      </c>
      <c r="F77" s="22"/>
      <c r="G77" s="47">
        <f>ROUND(G33/(G102)*1000,2)</f>
        <v>-6.4</v>
      </c>
      <c r="I77" s="47">
        <f>ROUND(I33/(I102)*1000,2)</f>
        <v>-7.3</v>
      </c>
      <c r="K77" s="47">
        <f>K33/(K101)*1000</f>
        <v>-7.8464659848453477</v>
      </c>
      <c r="M77" s="47">
        <f>M33/(M101)*1000</f>
        <v>-8.3500334001336007</v>
      </c>
      <c r="N77" s="47">
        <f>N33/(N101)*1000</f>
        <v>-8.3603480634703971</v>
      </c>
      <c r="O77" s="56">
        <f>O33/(O101)*1000</f>
        <v>-8.090614886731391</v>
      </c>
      <c r="P77" s="56">
        <f>P33/(P101)*1000</f>
        <v>-7.9624878350880293</v>
      </c>
      <c r="Q77" s="56">
        <f>Q33/(Q101)*1000</f>
        <v>-8.1986513967676338</v>
      </c>
      <c r="S77" s="47">
        <f>S33/(S101)*1000</f>
        <v>-7.8733031674208149</v>
      </c>
      <c r="T77" s="47">
        <f>T33/(T101)*1000</f>
        <v>-8.3129584352078236</v>
      </c>
      <c r="U77" s="56">
        <f>U33/(U101)*1000</f>
        <v>-2.8839221341023791</v>
      </c>
      <c r="V77" s="134">
        <f>V33/(V101)*1000</f>
        <v>-1.8726591760299625</v>
      </c>
      <c r="W77" s="56">
        <f>W33/(W101)*1000</f>
        <v>-1.7549457562220803</v>
      </c>
      <c r="X77" s="157">
        <f>X33/(X101)*1000</f>
        <v>-1.7947635135135136</v>
      </c>
      <c r="Y77" s="56">
        <f>Y33/(Y101)*1000</f>
        <v>-5.3639846743295019</v>
      </c>
      <c r="Z77" s="8"/>
      <c r="AA77" s="134">
        <f>AA33/(AA101)*1000</f>
        <v>-6.0255060255060249</v>
      </c>
      <c r="AB77" s="56">
        <f>AB33/(AB101)*1000</f>
        <v>-1.7549457562220803</v>
      </c>
      <c r="AC77" s="157">
        <f>AC33/(AC101)*1000</f>
        <v>-5.3639846743295019</v>
      </c>
      <c r="AD77" s="95"/>
      <c r="AE77" s="95"/>
    </row>
    <row r="78" spans="2:31" ht="13.9" customHeight="1" x14ac:dyDescent="0.25">
      <c r="B78" s="73" t="s">
        <v>48</v>
      </c>
      <c r="C78" s="8"/>
      <c r="E78" s="47">
        <f>+E34/E102*1000</f>
        <v>0.34270635206223543</v>
      </c>
      <c r="F78" s="22"/>
      <c r="G78" s="47">
        <f>+G34/G102*1000</f>
        <v>15.707930065563536</v>
      </c>
      <c r="I78" s="47">
        <f>+I34/I102*1000</f>
        <v>8.5110004681050261E-2</v>
      </c>
      <c r="K78" s="47">
        <f>+K34/K101*1000</f>
        <v>1.1800753591983768</v>
      </c>
      <c r="M78" s="47">
        <f>+M34/M101*1000</f>
        <v>0.50100200400801598</v>
      </c>
      <c r="N78" s="47">
        <f>+N34/N101*1000</f>
        <v>1.7061934823408975</v>
      </c>
      <c r="O78" s="56">
        <f>+O34/O101*1000</f>
        <v>6.9834781127576226</v>
      </c>
      <c r="P78" s="56">
        <f>+P34/P101*1000</f>
        <v>1.5924975670176058</v>
      </c>
      <c r="Q78" s="56">
        <f>+Q34/Q101*1000</f>
        <v>2.6972064647329548</v>
      </c>
      <c r="S78" s="47">
        <f>+S34/S101*1000</f>
        <v>0.45248868778280543</v>
      </c>
      <c r="T78" s="47">
        <f>+T34/T101*1000</f>
        <v>0</v>
      </c>
      <c r="U78" s="56">
        <f>+U34/U101*1000</f>
        <v>0</v>
      </c>
      <c r="V78" s="134">
        <f>+V34/V101*1000</f>
        <v>0</v>
      </c>
      <c r="W78" s="56">
        <f>+W34/W101*1000</f>
        <v>0</v>
      </c>
      <c r="X78" s="157">
        <f>+X34/X101*1000</f>
        <v>0</v>
      </c>
      <c r="Y78" s="56">
        <f>+Y34/Y101*1000</f>
        <v>0.12359411692003462</v>
      </c>
      <c r="Z78" s="8"/>
      <c r="AA78" s="134">
        <f>+AA34/AA101*1000</f>
        <v>0.14625014625014623</v>
      </c>
      <c r="AB78" s="56">
        <f>+AB34/AB101*1000</f>
        <v>0</v>
      </c>
      <c r="AC78" s="157">
        <f>+AC34/AC101*1000</f>
        <v>0.12359411692003462</v>
      </c>
      <c r="AD78" s="95"/>
      <c r="AE78" s="95"/>
    </row>
    <row r="79" spans="2:31" ht="13.9" customHeight="1" x14ac:dyDescent="0.25">
      <c r="B79" s="73" t="s">
        <v>47</v>
      </c>
      <c r="C79" s="8"/>
      <c r="E79" s="47">
        <f>+E35/E102*1000</f>
        <v>0</v>
      </c>
      <c r="F79" s="22"/>
      <c r="G79" s="47">
        <f>+G35/G102*1000</f>
        <v>0.5853886980955354</v>
      </c>
      <c r="I79" s="47">
        <f>+I35/I102*1000</f>
        <v>0.44682752457551383</v>
      </c>
      <c r="K79" s="47">
        <f>+K35/K101*1000</f>
        <v>0.10351538238582254</v>
      </c>
      <c r="M79" s="47">
        <f>+M35/M101*1000</f>
        <v>0</v>
      </c>
      <c r="N79" s="47">
        <f>+N35/N101*1000</f>
        <v>0</v>
      </c>
      <c r="O79" s="56">
        <f>+O35/O101*1000</f>
        <v>0</v>
      </c>
      <c r="P79" s="56">
        <f>+P35/P101*1000</f>
        <v>0</v>
      </c>
      <c r="Q79" s="56">
        <f>+Q35/Q101*1000</f>
        <v>0</v>
      </c>
      <c r="S79" s="47">
        <f>+S35/S101*1000</f>
        <v>0</v>
      </c>
      <c r="T79" s="47">
        <f>+T35/T101*1000</f>
        <v>0</v>
      </c>
      <c r="U79" s="56">
        <f>+U35/U101*1000</f>
        <v>0</v>
      </c>
      <c r="V79" s="134">
        <f>+V35/V101*1000</f>
        <v>0</v>
      </c>
      <c r="W79" s="56">
        <f>+W35/W101*1000</f>
        <v>0</v>
      </c>
      <c r="X79" s="157">
        <f>+X35/X101*1000</f>
        <v>0</v>
      </c>
      <c r="Y79" s="56">
        <f>+Y35/Y101*1000</f>
        <v>0</v>
      </c>
      <c r="Z79" s="8"/>
      <c r="AA79" s="134">
        <f>+AA35/AA101*1000</f>
        <v>0</v>
      </c>
      <c r="AB79" s="56">
        <f>+AB35/AB101*1000</f>
        <v>0</v>
      </c>
      <c r="AC79" s="157">
        <f>+AC35/AC101*1000</f>
        <v>0</v>
      </c>
      <c r="AD79" s="95"/>
      <c r="AE79" s="95"/>
    </row>
    <row r="80" spans="2:31" ht="13.9" customHeight="1" x14ac:dyDescent="0.25">
      <c r="B80" s="73" t="s">
        <v>75</v>
      </c>
      <c r="C80" s="8"/>
      <c r="E80" s="48">
        <f>+E36/E102*1000-0.01</f>
        <v>-0.96957778577425935</v>
      </c>
      <c r="G80" s="48">
        <f>+G36/G102*1000-0.01</f>
        <v>-0.26366843584139871</v>
      </c>
      <c r="I80" s="48">
        <f>+I36/I102*1000</f>
        <v>-0.3617175198944636</v>
      </c>
      <c r="K80" s="48">
        <f>+K36/K101*1000</f>
        <v>-0.47617075897478367</v>
      </c>
      <c r="M80" s="48">
        <f>+M36/M101*1000</f>
        <v>-0.58450233800935203</v>
      </c>
      <c r="N80" s="48">
        <f>+N36/N101*1000</f>
        <v>-0.25592902235113463</v>
      </c>
      <c r="O80" s="70">
        <f>+O36/O101*1000</f>
        <v>-0.68131493783001196</v>
      </c>
      <c r="P80" s="70">
        <f>+P36/P101*1000+0.01</f>
        <v>-4.7674927010528183</v>
      </c>
      <c r="Q80" s="70">
        <f>+Q36/Q101*1000</f>
        <v>-1.5412608369902601</v>
      </c>
      <c r="S80" s="48">
        <f>+S36/S101*1000</f>
        <v>-1.2669683257918551</v>
      </c>
      <c r="T80" s="48">
        <f>+T36/T101*1000</f>
        <v>-4.5965770171149147</v>
      </c>
      <c r="U80" s="70">
        <f>+U36/U101*1000</f>
        <v>-3.2959110104027189</v>
      </c>
      <c r="V80" s="136">
        <f>+V36/V101*1000-0.01</f>
        <v>2.7989887640449438</v>
      </c>
      <c r="W80" s="70">
        <f>+W36/W101*1000</f>
        <v>-0.79770261646458207</v>
      </c>
      <c r="X80" s="159">
        <f>+X36/X101*1000</f>
        <v>0.42229729729729731</v>
      </c>
      <c r="Y80" s="70">
        <f>+Y36/Y101*1000+0.01</f>
        <v>-2.1899752811766162</v>
      </c>
      <c r="Z80" s="8"/>
      <c r="AA80" s="136">
        <f>+AA36/AA101*1000-0.01</f>
        <v>-2.4670024570024567</v>
      </c>
      <c r="AB80" s="70">
        <f>+AB36/AB101*1000</f>
        <v>-0.79770261646458207</v>
      </c>
      <c r="AC80" s="159">
        <f>+AC36/AC101*1000+0.01</f>
        <v>-2.1899752811766162</v>
      </c>
      <c r="AD80" s="95"/>
      <c r="AE80" s="95"/>
    </row>
    <row r="81" spans="2:31 16278:16278" ht="3.65" customHeight="1" x14ac:dyDescent="0.25">
      <c r="B81" s="7"/>
      <c r="C81" s="8"/>
      <c r="E81" s="47"/>
      <c r="G81" s="47"/>
      <c r="I81" s="47"/>
      <c r="K81" s="47"/>
      <c r="M81" s="47"/>
      <c r="N81" s="47"/>
      <c r="O81" s="56"/>
      <c r="P81" s="56"/>
      <c r="Q81" s="56"/>
      <c r="S81" s="47"/>
      <c r="T81" s="47"/>
      <c r="U81" s="56"/>
      <c r="V81" s="134"/>
      <c r="W81" s="56"/>
      <c r="X81" s="157"/>
      <c r="Y81" s="56"/>
      <c r="Z81" s="8"/>
      <c r="AA81" s="134"/>
      <c r="AB81" s="56"/>
      <c r="AC81" s="157"/>
      <c r="AD81" s="95"/>
      <c r="AE81" s="95"/>
    </row>
    <row r="82" spans="2:31 16278:16278" ht="14.65" customHeight="1" x14ac:dyDescent="0.3">
      <c r="B82" s="1" t="s">
        <v>33</v>
      </c>
      <c r="C82" s="8"/>
      <c r="E82" s="34">
        <f>+E73+E76+E77+E78+E80+E79-0.01</f>
        <v>-93.846885656025634</v>
      </c>
      <c r="G82" s="34">
        <f>+G73+G76+G77+G78+G80+G79-0.01</f>
        <v>3.9023540430846113</v>
      </c>
      <c r="H82" s="52"/>
      <c r="I82" s="34">
        <f>+I73+I76+I77+I78+I80+I79-0.01</f>
        <v>-5.5865224052087417</v>
      </c>
      <c r="K82" s="34">
        <f>+K73+K76+K77+K78+K80+K79-0.01</f>
        <v>8.8816198087035687</v>
      </c>
      <c r="M82" s="34">
        <f t="shared" ref="M82:T82" si="58">+M73+M76+M77+M78+M80+M79-0.01</f>
        <v>-3.6840146960587732</v>
      </c>
      <c r="N82" s="34">
        <f t="shared" si="58"/>
        <v>3.487696638798838</v>
      </c>
      <c r="O82" s="34">
        <f t="shared" si="58"/>
        <v>10.795874638051451</v>
      </c>
      <c r="P82" s="34">
        <f t="shared" si="58"/>
        <v>-2.1233300893568066</v>
      </c>
      <c r="Q82" s="34">
        <f t="shared" si="58"/>
        <v>2.1206400513753612</v>
      </c>
      <c r="S82" s="34">
        <f t="shared" si="58"/>
        <v>-157.91855203619909</v>
      </c>
      <c r="T82" s="34">
        <f t="shared" si="58"/>
        <v>-24.1664792176039</v>
      </c>
      <c r="U82" s="34">
        <f>+U73+U76+U77+U78+U80+U79</f>
        <v>-0.72098053352559877</v>
      </c>
      <c r="V82" s="137">
        <f>+V73+V76+V77+V78+V80+V79+0.01</f>
        <v>1246.8789013732837</v>
      </c>
      <c r="W82" s="34">
        <f>+W73+W76+W77+W78+W80+W79</f>
        <v>-19.952565411614561</v>
      </c>
      <c r="X82" s="160">
        <f>+X73+X76+X77+X78+X80+X79+0.01</f>
        <v>408.57263513513516</v>
      </c>
      <c r="Y82" s="34">
        <f>+Y73+Y76+Y77+Y78+Y80+Y79</f>
        <v>46.248918551476962</v>
      </c>
      <c r="Z82" s="95"/>
      <c r="AA82" s="137">
        <f t="shared" ref="AA82" si="59">+AA73+AA76+AA77+AA78+AA80+AA79</f>
        <v>58.383058383058405</v>
      </c>
      <c r="AB82" s="34">
        <f>+AB73+AB76+AB77+AB78+AB80+AB79</f>
        <v>-19.952565411614561</v>
      </c>
      <c r="AC82" s="160">
        <f>+AC73+AC76+AC77+AC78+AC80+AC79</f>
        <v>46.248918551476962</v>
      </c>
      <c r="AD82" s="95"/>
      <c r="AE82" s="95"/>
    </row>
    <row r="83" spans="2:31 16278:16278" ht="14.65" customHeight="1" x14ac:dyDescent="0.25">
      <c r="B83" s="39" t="s">
        <v>23</v>
      </c>
      <c r="C83" s="8"/>
      <c r="E83" s="70">
        <f>E38/(E101)*1000</f>
        <v>32.934080433180831</v>
      </c>
      <c r="G83" s="48">
        <f>G38/(G101)*1000</f>
        <v>1.5220106150483921</v>
      </c>
      <c r="I83" s="48">
        <f>I38/(I101)*1000</f>
        <v>0</v>
      </c>
      <c r="K83" s="48">
        <f>K38/(K101)*1000</f>
        <v>0</v>
      </c>
      <c r="M83" s="48">
        <f>M38/(M101)*1000</f>
        <v>0</v>
      </c>
      <c r="N83" s="48">
        <f>N38/(N101)*1000</f>
        <v>0</v>
      </c>
      <c r="O83" s="70">
        <f>O38/(O101)*1000</f>
        <v>0</v>
      </c>
      <c r="P83" s="70">
        <f>P38/(P101)*1000</f>
        <v>-8.8472087056533671E-2</v>
      </c>
      <c r="Q83" s="70">
        <f>Q38/(Q101)*1000</f>
        <v>-2.1406400513753612E-2</v>
      </c>
      <c r="S83" s="48">
        <f>S38/(S101)*1000</f>
        <v>0</v>
      </c>
      <c r="T83" s="48">
        <f>T38/(T101)*1000</f>
        <v>0</v>
      </c>
      <c r="U83" s="70">
        <f>U38/(U101)*1000</f>
        <v>0</v>
      </c>
      <c r="V83" s="136">
        <f>V38/(V101)*1000</f>
        <v>0</v>
      </c>
      <c r="W83" s="70">
        <f>W38/(W101)*1000</f>
        <v>0</v>
      </c>
      <c r="X83" s="159">
        <f>X38/(X101)*1000</f>
        <v>0</v>
      </c>
      <c r="Y83" s="70">
        <f>Y38/(Y101)*1000</f>
        <v>0</v>
      </c>
      <c r="Z83" s="8"/>
      <c r="AA83" s="136">
        <f>AA38/(AA101)*1000</f>
        <v>0</v>
      </c>
      <c r="AB83" s="70">
        <f>AB38/(AB101)*1000</f>
        <v>0</v>
      </c>
      <c r="AC83" s="159">
        <f>AC38/(AC101)*1000</f>
        <v>0</v>
      </c>
      <c r="AD83" s="95"/>
      <c r="AE83" s="95"/>
    </row>
    <row r="84" spans="2:31 16278:16278" ht="14.65" customHeight="1" x14ac:dyDescent="0.3">
      <c r="B84" s="1" t="s">
        <v>34</v>
      </c>
      <c r="C84" s="31"/>
      <c r="D84" s="30"/>
      <c r="E84" s="47">
        <f>SUM(E82:E83)-0.01</f>
        <v>-60.922805222844801</v>
      </c>
      <c r="F84" s="30"/>
      <c r="G84" s="47">
        <f>SUM(G82:G83)</f>
        <v>5.4243646581330029</v>
      </c>
      <c r="H84" s="52"/>
      <c r="I84" s="47">
        <f>SUM(I82:I83)</f>
        <v>-5.5865224052087417</v>
      </c>
      <c r="K84" s="47">
        <f>SUM(K82:K83)</f>
        <v>8.8816198087035687</v>
      </c>
      <c r="M84" s="47">
        <f>SUM(M82:M83)</f>
        <v>-3.6840146960587732</v>
      </c>
      <c r="N84" s="47">
        <f>SUM(N82:N83)</f>
        <v>3.487696638798838</v>
      </c>
      <c r="O84" s="56">
        <f>SUM(O82:O83)</f>
        <v>10.795874638051451</v>
      </c>
      <c r="P84" s="56">
        <f>SUM(P82:P83)</f>
        <v>-2.2118021764133404</v>
      </c>
      <c r="Q84" s="56">
        <f>SUM(Q82:Q83)</f>
        <v>2.0992336508616076</v>
      </c>
      <c r="S84" s="47">
        <f>SUM(S82:S83)</f>
        <v>-157.91855203619909</v>
      </c>
      <c r="T84" s="47">
        <f>SUM(T82:T83)</f>
        <v>-24.1664792176039</v>
      </c>
      <c r="U84" s="56">
        <f>SUM(U82:U83)</f>
        <v>-0.72098053352559877</v>
      </c>
      <c r="V84" s="134">
        <f t="shared" ref="V84:W84" si="60">SUM(V82:V83)</f>
        <v>1246.8789013732837</v>
      </c>
      <c r="W84" s="56">
        <f t="shared" si="60"/>
        <v>-19.952565411614561</v>
      </c>
      <c r="X84" s="157">
        <f>SUM(X82:X83)</f>
        <v>408.57263513513516</v>
      </c>
      <c r="Y84" s="56">
        <f>SUM(Y82:Y83)</f>
        <v>46.248918551476962</v>
      </c>
      <c r="Z84" s="95"/>
      <c r="AA84" s="134">
        <f t="shared" ref="AA84" si="61">SUM(AA82:AA83)</f>
        <v>58.383058383058405</v>
      </c>
      <c r="AB84" s="56">
        <f t="shared" ref="AB84" si="62">SUM(AB82:AB83)</f>
        <v>-19.952565411614561</v>
      </c>
      <c r="AC84" s="157">
        <f>SUM(AC82:AC83)</f>
        <v>46.248918551476962</v>
      </c>
      <c r="AD84" s="95"/>
      <c r="AE84" s="95"/>
    </row>
    <row r="85" spans="2:31 16278:16278" ht="4.1500000000000004" customHeight="1" x14ac:dyDescent="0.3">
      <c r="B85" s="1"/>
      <c r="C85" s="31"/>
      <c r="D85" s="30"/>
      <c r="E85" s="47"/>
      <c r="F85" s="30"/>
      <c r="G85" s="47"/>
      <c r="H85" s="52"/>
      <c r="I85" s="47"/>
      <c r="K85" s="47"/>
      <c r="M85" s="47"/>
      <c r="N85" s="47"/>
      <c r="O85" s="56"/>
      <c r="P85" s="56"/>
      <c r="Q85" s="56"/>
      <c r="S85" s="47"/>
      <c r="T85" s="47"/>
      <c r="U85" s="56"/>
      <c r="V85" s="134"/>
      <c r="W85" s="56"/>
      <c r="X85" s="157"/>
      <c r="Y85" s="56"/>
      <c r="Z85" s="8"/>
      <c r="AA85" s="134"/>
      <c r="AB85" s="56"/>
      <c r="AC85" s="157"/>
      <c r="AD85" s="95"/>
      <c r="AE85" s="95"/>
    </row>
    <row r="86" spans="2:31 16278:16278" ht="14.65" customHeight="1" x14ac:dyDescent="0.3">
      <c r="B86" s="91" t="s">
        <v>60</v>
      </c>
      <c r="C86" s="31"/>
      <c r="O86" s="36"/>
      <c r="P86" s="36"/>
      <c r="Q86" s="36"/>
      <c r="U86" s="36"/>
      <c r="V86" s="129"/>
      <c r="W86" s="36"/>
      <c r="X86" s="161"/>
      <c r="Y86" s="36"/>
      <c r="Z86" s="8"/>
      <c r="AA86" s="129"/>
      <c r="AB86" s="36"/>
      <c r="AC86" s="161"/>
      <c r="AD86" s="95"/>
      <c r="AE86" s="95"/>
      <c r="XBB86" s="48"/>
    </row>
    <row r="87" spans="2:31 16278:16278" ht="14.65" customHeight="1" x14ac:dyDescent="0.3">
      <c r="B87" s="79" t="s">
        <v>58</v>
      </c>
      <c r="C87" s="31"/>
      <c r="D87" s="30"/>
      <c r="E87" s="47">
        <f>E42/(E102)*1000</f>
        <v>0</v>
      </c>
      <c r="F87" s="22"/>
      <c r="G87" s="47">
        <f>G42/(G102)*1000</f>
        <v>0</v>
      </c>
      <c r="H87" s="52"/>
      <c r="I87" s="47">
        <f>I42/(I102)*1000</f>
        <v>0</v>
      </c>
      <c r="K87" s="47">
        <f>K42/(K101)*1000</f>
        <v>-2.0496045712392865</v>
      </c>
      <c r="M87" s="47">
        <f>M42/(M101)*1000</f>
        <v>-2.3380093520374081</v>
      </c>
      <c r="N87" s="47">
        <f>N42/(N101)*1000</f>
        <v>-2.4739805493943017</v>
      </c>
      <c r="O87" s="56">
        <f>O42/(O101)*1000</f>
        <v>-2.5549310168625445</v>
      </c>
      <c r="P87" s="56">
        <f>P42/(P101)*1000</f>
        <v>-2.6541626116960102</v>
      </c>
      <c r="Q87" s="56">
        <f>Q42/(Q101)*1000</f>
        <v>-2.504548860109173</v>
      </c>
      <c r="S87" s="47">
        <f>S42/(S101)*1000</f>
        <v>-2.7149321266968323</v>
      </c>
      <c r="T87" s="47">
        <f>T42/(T101)*1000</f>
        <v>-2.9339853300733498</v>
      </c>
      <c r="U87" s="56">
        <f>U42/(U101)*1000</f>
        <v>-2.5749304768771242</v>
      </c>
      <c r="V87" s="134">
        <f>V42/(V101)*1000</f>
        <v>-2.8089887640449436</v>
      </c>
      <c r="W87" s="56">
        <f>W42/(W101)*1000</f>
        <v>0</v>
      </c>
      <c r="X87" s="157">
        <f>X42/(X101)*1000</f>
        <v>-0.95016891891891897</v>
      </c>
      <c r="Y87" s="56">
        <f>Y42/(Y101)*1000-0.01</f>
        <v>-2.3335693980966501</v>
      </c>
      <c r="Z87" s="95"/>
      <c r="AA87" s="134">
        <f>AA42/(AA101)*1000</f>
        <v>-2.7495027495027493</v>
      </c>
      <c r="AB87" s="56">
        <f>AB42/(AB101)*1000</f>
        <v>0</v>
      </c>
      <c r="AC87" s="157">
        <f>AC42/(AC101)*1000-0.01</f>
        <v>-2.3335693980966501</v>
      </c>
      <c r="AD87" s="95"/>
      <c r="AE87" s="95"/>
      <c r="XBB87" s="47"/>
    </row>
    <row r="88" spans="2:31 16278:16278" ht="14.65" customHeight="1" x14ac:dyDescent="0.3">
      <c r="B88" s="79" t="s">
        <v>59</v>
      </c>
      <c r="C88" s="31"/>
      <c r="D88" s="30"/>
      <c r="E88" s="47">
        <f>E43/(E102)*1000</f>
        <v>0</v>
      </c>
      <c r="F88" s="22"/>
      <c r="G88" s="47">
        <f>G43/(G102)*1000</f>
        <v>0</v>
      </c>
      <c r="H88" s="52"/>
      <c r="I88" s="47">
        <f>I43/(I102)*1000</f>
        <v>-8.5110004681050261E-2</v>
      </c>
      <c r="K88" s="47">
        <f>K43/(K101)*1000</f>
        <v>-4.1406152954329013E-2</v>
      </c>
      <c r="M88" s="48">
        <f>M43/(M101)*1000</f>
        <v>0.41750167000668004</v>
      </c>
      <c r="N88" s="48">
        <f>N43/(N101)*1000</f>
        <v>0</v>
      </c>
      <c r="O88" s="70">
        <f>O43/(O101)*1000</f>
        <v>-0.2554931016862545</v>
      </c>
      <c r="P88" s="70">
        <f>P43/(P101)*1000</f>
        <v>-1.0616650446784039</v>
      </c>
      <c r="Q88" s="70">
        <f>Q43/(Q101)*1000</f>
        <v>-0.21406400513753612</v>
      </c>
      <c r="S88" s="48">
        <f>S43/(S101)*1000</f>
        <v>-1.9004524886877829</v>
      </c>
      <c r="T88" s="48">
        <f>T43/(T101)*1000</f>
        <v>0.58679706601466997</v>
      </c>
      <c r="U88" s="70">
        <f>U43/(U101)*1000</f>
        <v>0.3089916572252549</v>
      </c>
      <c r="V88" s="136">
        <f>V43/(V101)*1000</f>
        <v>-0.31210986267166041</v>
      </c>
      <c r="W88" s="70">
        <f>W43/(W101)*1000+0.01</f>
        <v>0.32908104658583281</v>
      </c>
      <c r="X88" s="159">
        <f>X43/(X101)*1000</f>
        <v>0.10557432432432433</v>
      </c>
      <c r="Y88" s="70">
        <f>Y43/(Y101)*1000</f>
        <v>-0.2719070572240761</v>
      </c>
      <c r="Z88" s="95"/>
      <c r="AA88" s="136">
        <f>AA43/(AA101)*1000</f>
        <v>-0.38025038025038022</v>
      </c>
      <c r="AB88" s="70">
        <f>AB43/(AB101)*1000+0.01</f>
        <v>0.32908104658583281</v>
      </c>
      <c r="AC88" s="159">
        <f>AC43/(AC101)*1000</f>
        <v>-0.2719070572240761</v>
      </c>
      <c r="AD88" s="95"/>
      <c r="AE88" s="95"/>
      <c r="XBB88" s="47"/>
    </row>
    <row r="89" spans="2:31 16278:16278" ht="14.65" customHeight="1" x14ac:dyDescent="0.3">
      <c r="B89" s="79" t="s">
        <v>61</v>
      </c>
      <c r="C89" s="31"/>
      <c r="D89" s="30"/>
      <c r="E89" s="90">
        <f>+E87+E88</f>
        <v>0</v>
      </c>
      <c r="F89" s="22"/>
      <c r="G89" s="90">
        <f>+G87+G88</f>
        <v>0</v>
      </c>
      <c r="H89" s="52"/>
      <c r="I89" s="90">
        <f>+I87+I88</f>
        <v>-8.5110004681050261E-2</v>
      </c>
      <c r="K89" s="90">
        <f>+K87+K88</f>
        <v>-2.0910107241936156</v>
      </c>
      <c r="M89" s="47">
        <f>+M87+M88</f>
        <v>-1.9205076820307281</v>
      </c>
      <c r="N89" s="47">
        <f>+N87+N88</f>
        <v>-2.4739805493943017</v>
      </c>
      <c r="O89" s="56">
        <f>+O87+O88</f>
        <v>-2.810424118548799</v>
      </c>
      <c r="P89" s="56">
        <f>+P87+P88+0.01</f>
        <v>-3.7058276563744146</v>
      </c>
      <c r="Q89" s="56">
        <f>+Q87+Q88+0.01</f>
        <v>-2.7086128652467094</v>
      </c>
      <c r="S89" s="47">
        <f>+S87+S88+0.01</f>
        <v>-4.6053846153846152</v>
      </c>
      <c r="T89" s="47">
        <f>+T87+T88+0.01</f>
        <v>-2.3371882640586801</v>
      </c>
      <c r="U89" s="56">
        <f>+U87+U88</f>
        <v>-2.2659388196518693</v>
      </c>
      <c r="V89" s="134">
        <f t="shared" ref="V89:W89" si="63">+V87+V88</f>
        <v>-3.1210986267166039</v>
      </c>
      <c r="W89" s="56">
        <f t="shared" si="63"/>
        <v>0.32908104658583281</v>
      </c>
      <c r="X89" s="157">
        <f>+X87+X88</f>
        <v>-0.84459459459459463</v>
      </c>
      <c r="Y89" s="56">
        <f>+Y87+Y88+0.01</f>
        <v>-2.5954764553207266</v>
      </c>
      <c r="Z89" s="95"/>
      <c r="AA89" s="134">
        <f t="shared" ref="AA89" si="64">+AA87+AA88</f>
        <v>-3.1297531297531296</v>
      </c>
      <c r="AB89" s="56">
        <f t="shared" ref="AB89" si="65">+AB87+AB88</f>
        <v>0.32908104658583281</v>
      </c>
      <c r="AC89" s="157">
        <f>+AC87+AC88+0.01</f>
        <v>-2.5954764553207266</v>
      </c>
      <c r="AD89" s="95"/>
      <c r="AE89" s="95"/>
      <c r="XBB89" s="47"/>
    </row>
    <row r="90" spans="2:31 16278:16278" ht="1.9" customHeight="1" x14ac:dyDescent="0.3">
      <c r="B90" s="79"/>
      <c r="C90" s="31"/>
      <c r="D90" s="30"/>
      <c r="E90" s="47"/>
      <c r="F90" s="22"/>
      <c r="G90" s="47"/>
      <c r="H90" s="52"/>
      <c r="I90" s="47"/>
      <c r="K90" s="47"/>
      <c r="M90" s="47"/>
      <c r="N90" s="47"/>
      <c r="O90" s="56"/>
      <c r="P90" s="56"/>
      <c r="Q90" s="56"/>
      <c r="S90" s="47"/>
      <c r="T90" s="47"/>
      <c r="U90" s="56"/>
      <c r="V90" s="134"/>
      <c r="W90" s="56"/>
      <c r="X90" s="157"/>
      <c r="Y90" s="56"/>
      <c r="Z90" s="95"/>
      <c r="AA90" s="134"/>
      <c r="AB90" s="56"/>
      <c r="AC90" s="157"/>
      <c r="AD90" s="95"/>
      <c r="AE90" s="95"/>
      <c r="XBB90" s="47"/>
    </row>
    <row r="91" spans="2:31 16278:16278" ht="14.65" customHeight="1" thickBot="1" x14ac:dyDescent="0.35">
      <c r="B91" s="1" t="s">
        <v>35</v>
      </c>
      <c r="C91" s="31"/>
      <c r="D91" s="30"/>
      <c r="E91" s="49">
        <f>+E84+E89</f>
        <v>-60.922805222844801</v>
      </c>
      <c r="F91" s="30"/>
      <c r="G91" s="49">
        <f>+G84+G89</f>
        <v>5.4243646581330029</v>
      </c>
      <c r="H91" s="52"/>
      <c r="I91" s="49">
        <f>+I84+I89-0.01</f>
        <v>-5.6816324098897919</v>
      </c>
      <c r="K91" s="49">
        <f>+K84+K89</f>
        <v>6.7906090845099527</v>
      </c>
      <c r="M91" s="49">
        <f>+M84+M89</f>
        <v>-5.6045223780895013</v>
      </c>
      <c r="N91" s="49">
        <f>+N84+N89+0.01</f>
        <v>1.0237160894045363</v>
      </c>
      <c r="O91" s="92">
        <f>+O84+O89</f>
        <v>7.9854505195026526</v>
      </c>
      <c r="P91" s="92">
        <f>+P84+P89</f>
        <v>-5.917629832787755</v>
      </c>
      <c r="Q91" s="92">
        <f>+Q84+Q89</f>
        <v>-0.60937921438510179</v>
      </c>
      <c r="S91" s="49">
        <f>+S84+S89-0.01</f>
        <v>-162.5339366515837</v>
      </c>
      <c r="T91" s="49">
        <f>+T84+T89-0.01</f>
        <v>-26.513667481662583</v>
      </c>
      <c r="U91" s="92">
        <f>+U84+U89</f>
        <v>-2.986919353177468</v>
      </c>
      <c r="V91" s="138">
        <f t="shared" ref="V91" si="66">+V84+V89</f>
        <v>1243.7578027465672</v>
      </c>
      <c r="W91" s="92">
        <f>+W84+W89</f>
        <v>-19.623484365028727</v>
      </c>
      <c r="X91" s="162">
        <f>+X84+X89</f>
        <v>407.72804054054058</v>
      </c>
      <c r="Y91" s="92">
        <f>+Y84+Y89</f>
        <v>43.653442096156233</v>
      </c>
      <c r="Z91" s="95"/>
      <c r="AA91" s="138">
        <f t="shared" ref="AA91" si="67">+AA84+AA89</f>
        <v>55.253305253305278</v>
      </c>
      <c r="AB91" s="92">
        <f>+AB84+AB89</f>
        <v>-19.623484365028727</v>
      </c>
      <c r="AC91" s="162">
        <f>+AC84+AC89</f>
        <v>43.653442096156233</v>
      </c>
      <c r="AD91" s="95"/>
      <c r="AE91" s="95"/>
    </row>
    <row r="92" spans="2:31 16278:16278" ht="13" thickTop="1" x14ac:dyDescent="0.25">
      <c r="H92" s="36"/>
      <c r="N92" s="25"/>
      <c r="O92" s="68"/>
      <c r="P92" s="68"/>
      <c r="Q92" s="36"/>
      <c r="T92" s="25"/>
      <c r="U92" s="68"/>
      <c r="V92" s="139"/>
      <c r="W92" s="68"/>
      <c r="X92" s="163"/>
      <c r="Y92" s="36"/>
      <c r="Z92" s="89"/>
      <c r="AA92" s="139"/>
      <c r="AB92" s="68"/>
      <c r="AC92" s="163"/>
    </row>
    <row r="93" spans="2:31 16278:16278" ht="6" customHeight="1" x14ac:dyDescent="0.25">
      <c r="B93" s="86"/>
      <c r="AA93" s="12"/>
      <c r="AB93" s="12"/>
    </row>
    <row r="94" spans="2:31 16278:16278" x14ac:dyDescent="0.25">
      <c r="B94" s="86" t="s">
        <v>79</v>
      </c>
      <c r="AA94" s="12"/>
      <c r="AB94" s="12"/>
    </row>
    <row r="95" spans="2:31 16278:16278" x14ac:dyDescent="0.25">
      <c r="B95" s="86" t="s">
        <v>45</v>
      </c>
      <c r="AA95" s="12"/>
      <c r="AB95" s="12"/>
    </row>
    <row r="96" spans="2:31 16278:16278" ht="9" customHeight="1" x14ac:dyDescent="0.25">
      <c r="B96" s="86"/>
      <c r="AA96" s="12"/>
      <c r="AB96" s="12"/>
    </row>
    <row r="97" spans="1:29" x14ac:dyDescent="0.25">
      <c r="B97" s="86" t="s">
        <v>80</v>
      </c>
      <c r="AA97" s="12"/>
      <c r="AB97" s="12"/>
    </row>
    <row r="98" spans="1:29" ht="14.5" x14ac:dyDescent="0.25">
      <c r="B98" s="87"/>
      <c r="AA98" s="12"/>
      <c r="AB98" s="12"/>
    </row>
    <row r="99" spans="1:29" ht="14.5" x14ac:dyDescent="0.25">
      <c r="B99" s="87"/>
      <c r="AA99" s="12"/>
      <c r="AB99" s="12"/>
    </row>
    <row r="100" spans="1:29" x14ac:dyDescent="0.25">
      <c r="G100" s="45"/>
      <c r="H100" s="36"/>
      <c r="I100" s="45"/>
      <c r="K100" s="45"/>
      <c r="Q100" s="45"/>
      <c r="Y100" s="98"/>
      <c r="AA100" s="12"/>
      <c r="AB100" s="12"/>
    </row>
    <row r="101" spans="1:29" s="36" customFormat="1" hidden="1" x14ac:dyDescent="0.25">
      <c r="A101" s="63"/>
      <c r="B101" s="63" t="s">
        <v>18</v>
      </c>
      <c r="C101" s="63"/>
      <c r="D101" s="63"/>
      <c r="E101" s="65">
        <v>58359</v>
      </c>
      <c r="F101" s="65"/>
      <c r="G101" s="65">
        <v>51248</v>
      </c>
      <c r="I101" s="65">
        <v>46998</v>
      </c>
      <c r="K101" s="65">
        <v>48302</v>
      </c>
      <c r="M101" s="65">
        <v>11976</v>
      </c>
      <c r="N101" s="65">
        <v>11722</v>
      </c>
      <c r="O101" s="65">
        <v>11742</v>
      </c>
      <c r="P101" s="65">
        <v>11303</v>
      </c>
      <c r="Q101" s="65">
        <f>+M101+N101+O101+P101-28</f>
        <v>46715</v>
      </c>
      <c r="S101" s="65">
        <v>11050</v>
      </c>
      <c r="T101" s="65">
        <v>10225</v>
      </c>
      <c r="U101" s="65">
        <f>9709</f>
        <v>9709</v>
      </c>
      <c r="V101" s="65">
        <v>3204</v>
      </c>
      <c r="W101" s="65">
        <v>6268</v>
      </c>
      <c r="X101" s="65">
        <f>V101+W101</f>
        <v>9472</v>
      </c>
      <c r="Y101" s="65">
        <f>+S101+T101+U101+X101-1</f>
        <v>40455</v>
      </c>
      <c r="Z101" s="65"/>
      <c r="AA101" s="96">
        <f>S101+T101+U101+V101</f>
        <v>34188</v>
      </c>
      <c r="AB101" s="97">
        <f>W101</f>
        <v>6268</v>
      </c>
      <c r="AC101" s="96">
        <f>AA101+AB101-1</f>
        <v>40455</v>
      </c>
    </row>
    <row r="102" spans="1:29" s="36" customFormat="1" ht="12" hidden="1" customHeight="1" x14ac:dyDescent="0.25">
      <c r="A102" s="63"/>
      <c r="B102" s="63" t="s">
        <v>16</v>
      </c>
      <c r="C102" s="63"/>
      <c r="D102" s="64"/>
      <c r="E102" s="65">
        <v>58359</v>
      </c>
      <c r="F102" s="64"/>
      <c r="G102" s="65">
        <v>51248</v>
      </c>
      <c r="I102" s="65">
        <v>46998</v>
      </c>
      <c r="K102" s="65">
        <v>47803</v>
      </c>
      <c r="M102" s="65">
        <v>0</v>
      </c>
      <c r="N102" s="65">
        <v>0</v>
      </c>
      <c r="O102" s="65">
        <v>0</v>
      </c>
      <c r="P102" s="66">
        <v>0</v>
      </c>
      <c r="Q102" s="65">
        <f>+M102+N102+O102+P102</f>
        <v>0</v>
      </c>
      <c r="S102" s="65">
        <v>0</v>
      </c>
      <c r="T102" s="65">
        <v>0</v>
      </c>
      <c r="U102" s="65">
        <v>0</v>
      </c>
      <c r="V102" s="65"/>
      <c r="W102" s="65"/>
      <c r="X102" s="66">
        <v>0</v>
      </c>
      <c r="Y102" s="65">
        <f>+S102+T102+U102+X102</f>
        <v>0</v>
      </c>
      <c r="Z102" s="65"/>
    </row>
    <row r="103" spans="1:29" hidden="1" x14ac:dyDescent="0.25">
      <c r="A103" s="63"/>
      <c r="B103" s="63"/>
      <c r="C103" s="63"/>
      <c r="D103" s="63"/>
      <c r="E103" s="63"/>
      <c r="F103" s="63"/>
      <c r="G103" s="63"/>
      <c r="H103" s="36"/>
      <c r="I103" s="63"/>
      <c r="K103" s="63"/>
      <c r="M103" s="63"/>
      <c r="N103" s="63"/>
      <c r="O103" s="63"/>
      <c r="P103" s="63"/>
      <c r="Q103" s="63"/>
      <c r="S103" s="63"/>
      <c r="T103" s="63"/>
      <c r="U103" s="63"/>
      <c r="V103" s="63"/>
      <c r="W103" s="63"/>
      <c r="X103" s="63"/>
      <c r="Y103" s="63"/>
    </row>
    <row r="104" spans="1:29" hidden="1" x14ac:dyDescent="0.25">
      <c r="A104" s="63"/>
      <c r="B104" s="63"/>
      <c r="C104" s="63"/>
      <c r="D104" s="63"/>
      <c r="E104" s="67"/>
      <c r="F104" s="63"/>
      <c r="G104" s="67"/>
      <c r="H104" s="36"/>
      <c r="I104" s="67"/>
      <c r="K104" s="67"/>
      <c r="M104" s="67"/>
      <c r="N104" s="67"/>
      <c r="O104" s="67"/>
      <c r="P104" s="67"/>
      <c r="Q104" s="67"/>
      <c r="S104" s="67"/>
      <c r="T104" s="67">
        <f>+T14/T101*1000</f>
        <v>26.992665036674815</v>
      </c>
      <c r="U104" s="67">
        <f>+U14/U101*1000</f>
        <v>42.125862601709748</v>
      </c>
      <c r="V104" s="67"/>
      <c r="W104" s="67"/>
      <c r="X104" s="67">
        <f>+X14/X101*1000</f>
        <v>31.777871621621621</v>
      </c>
      <c r="Y104" s="67">
        <f>+Y14/Y101*1000</f>
        <v>38.536645655666796</v>
      </c>
    </row>
    <row r="105" spans="1:29" hidden="1" x14ac:dyDescent="0.25">
      <c r="A105" s="63"/>
      <c r="B105" s="63"/>
      <c r="C105" s="63"/>
      <c r="D105" s="63"/>
      <c r="E105" s="67"/>
      <c r="F105" s="63"/>
      <c r="G105" s="67"/>
      <c r="H105" s="36"/>
      <c r="I105" s="67"/>
      <c r="K105" s="67"/>
      <c r="M105" s="67"/>
      <c r="N105" s="67"/>
      <c r="O105" s="67"/>
      <c r="P105" s="67"/>
      <c r="Q105" s="67"/>
      <c r="S105" s="67"/>
      <c r="T105" s="67">
        <f>+T27/T101*1000</f>
        <v>38.239608801955988</v>
      </c>
      <c r="U105" s="67">
        <f>+U27/U101*1000</f>
        <v>43.464826449685859</v>
      </c>
      <c r="V105" s="67"/>
      <c r="W105" s="67"/>
      <c r="X105" s="67">
        <f>+X27/X101*1000</f>
        <v>43.179898648648653</v>
      </c>
      <c r="Y105" s="67">
        <f>+Y27/Y101*1000</f>
        <v>85.131627734519839</v>
      </c>
    </row>
    <row r="106" spans="1:29" hidden="1" x14ac:dyDescent="0.25">
      <c r="A106" s="63"/>
      <c r="B106" s="63"/>
      <c r="C106" s="63"/>
      <c r="D106" s="63"/>
      <c r="E106" s="67"/>
      <c r="F106" s="63"/>
      <c r="G106" s="67"/>
      <c r="H106" s="36"/>
      <c r="I106" s="67"/>
      <c r="K106" s="67"/>
      <c r="M106" s="67"/>
      <c r="N106" s="67"/>
      <c r="O106" s="67"/>
      <c r="P106" s="67"/>
      <c r="Q106" s="67"/>
      <c r="S106" s="67"/>
      <c r="T106" s="67">
        <f>+T29/T101*1000</f>
        <v>-11.246943765281173</v>
      </c>
      <c r="U106" s="67">
        <f>+U29/U101*1000</f>
        <v>-1.3389638479761046</v>
      </c>
      <c r="V106" s="67"/>
      <c r="W106" s="67"/>
      <c r="X106" s="67">
        <f>+X29/X101*1000</f>
        <v>-11.402027027027026</v>
      </c>
      <c r="Y106" s="67">
        <f>+Y29/Y101*1000</f>
        <v>-46.59498207885305</v>
      </c>
    </row>
    <row r="107" spans="1:29" hidden="1" x14ac:dyDescent="0.25">
      <c r="A107" s="63"/>
      <c r="B107" s="63"/>
      <c r="C107" s="63"/>
      <c r="D107" s="63"/>
      <c r="E107" s="67"/>
      <c r="F107" s="63"/>
      <c r="G107" s="67"/>
      <c r="H107" s="36"/>
      <c r="I107" s="67"/>
      <c r="K107" s="67"/>
      <c r="M107" s="67"/>
      <c r="N107" s="67"/>
      <c r="O107" s="67"/>
      <c r="P107" s="67"/>
      <c r="Q107" s="67"/>
      <c r="S107" s="67"/>
      <c r="T107" s="67">
        <f>+T37/T101*1000</f>
        <v>-24.156479217603913</v>
      </c>
      <c r="U107" s="67">
        <f>+U37/U101*1000</f>
        <v>-0.72098053352559477</v>
      </c>
      <c r="V107" s="67"/>
      <c r="W107" s="67"/>
      <c r="X107" s="67">
        <f>+X37/X101*1000</f>
        <v>408.57263513513516</v>
      </c>
      <c r="Y107" s="67">
        <f>+Y37/Y101*1000</f>
        <v>46.248918551476947</v>
      </c>
    </row>
    <row r="108" spans="1:29" hidden="1" x14ac:dyDescent="0.25">
      <c r="A108" s="63"/>
      <c r="B108" s="63"/>
      <c r="C108" s="63"/>
      <c r="D108" s="63"/>
      <c r="E108" s="67"/>
      <c r="F108" s="63"/>
      <c r="G108" s="67"/>
      <c r="H108" s="36"/>
      <c r="I108" s="67"/>
      <c r="K108" s="67"/>
      <c r="M108" s="67"/>
      <c r="N108" s="67"/>
      <c r="O108" s="67"/>
      <c r="P108" s="67"/>
      <c r="Q108" s="67"/>
      <c r="S108" s="67"/>
      <c r="T108" s="67">
        <f>+T39/T101*1000</f>
        <v>-24.156479217603913</v>
      </c>
      <c r="U108" s="67">
        <f>+U39/U101*1000</f>
        <v>-0.72098053352559477</v>
      </c>
      <c r="V108" s="67"/>
      <c r="W108" s="67"/>
      <c r="X108" s="67">
        <f>+X39/X101*1000</f>
        <v>408.57263513513516</v>
      </c>
      <c r="Y108" s="67">
        <f>+Y39/Y101*1000</f>
        <v>46.248918551476947</v>
      </c>
    </row>
    <row r="109" spans="1:29" hidden="1" x14ac:dyDescent="0.25">
      <c r="A109" s="63"/>
      <c r="B109" s="63"/>
      <c r="C109" s="63"/>
      <c r="D109" s="63"/>
      <c r="E109" s="67"/>
      <c r="F109" s="63"/>
      <c r="G109" s="67"/>
      <c r="H109" s="36"/>
      <c r="I109" s="67"/>
      <c r="K109" s="67"/>
      <c r="M109" s="67"/>
      <c r="N109" s="67"/>
      <c r="O109" s="67"/>
      <c r="P109" s="67"/>
      <c r="Q109" s="67"/>
      <c r="S109" s="67"/>
      <c r="T109" s="67">
        <f>+T41/T101*1000</f>
        <v>0</v>
      </c>
      <c r="U109" s="67">
        <f>+U41/U101*1000</f>
        <v>0</v>
      </c>
      <c r="V109" s="67"/>
      <c r="W109" s="67"/>
      <c r="X109" s="67">
        <f>+X41/X101*1000</f>
        <v>0</v>
      </c>
      <c r="Y109" s="67">
        <f>+Y41/Y101*1000</f>
        <v>0</v>
      </c>
    </row>
    <row r="110" spans="1:29" hidden="1" x14ac:dyDescent="0.25">
      <c r="I110" s="67"/>
      <c r="K110" s="67"/>
      <c r="M110" s="67"/>
      <c r="N110" s="67"/>
      <c r="O110" s="67"/>
      <c r="P110" s="67"/>
      <c r="Q110" s="67"/>
      <c r="S110" s="67"/>
      <c r="T110" s="67">
        <f>+T46/T101*1000</f>
        <v>-26.503667481662593</v>
      </c>
      <c r="U110" s="67">
        <f>+U46/U101*1000</f>
        <v>-2.986919353177464</v>
      </c>
      <c r="V110" s="67"/>
      <c r="W110" s="67"/>
      <c r="X110" s="67">
        <f>+X46/X101*1000</f>
        <v>407.72804054054052</v>
      </c>
      <c r="Y110" s="67">
        <f>+Y46/Y101*1000</f>
        <v>43.653442096156219</v>
      </c>
    </row>
    <row r="111" spans="1:29" x14ac:dyDescent="0.25">
      <c r="K111" s="34"/>
      <c r="N111" s="34"/>
      <c r="Q111" s="34"/>
      <c r="T111" s="34"/>
      <c r="Y111" s="34"/>
    </row>
    <row r="112" spans="1:29" x14ac:dyDescent="0.25">
      <c r="K112" s="34"/>
      <c r="N112" s="34"/>
      <c r="Q112" s="34"/>
      <c r="T112" s="34"/>
      <c r="Y112" s="34"/>
    </row>
    <row r="113" spans="11:25" x14ac:dyDescent="0.25">
      <c r="K113" s="34"/>
      <c r="N113" s="34"/>
      <c r="Q113" s="34"/>
      <c r="T113" s="34"/>
      <c r="Y113" s="34"/>
    </row>
    <row r="114" spans="11:25" x14ac:dyDescent="0.25">
      <c r="K114" s="34"/>
      <c r="N114" s="34"/>
      <c r="Q114" s="34"/>
      <c r="T114" s="34"/>
      <c r="Y114" s="34"/>
    </row>
    <row r="115" spans="11:25" x14ac:dyDescent="0.25">
      <c r="K115" s="34"/>
      <c r="N115" s="34"/>
      <c r="Q115" s="34"/>
      <c r="T115" s="34"/>
      <c r="Y115" s="34"/>
    </row>
    <row r="116" spans="11:25" x14ac:dyDescent="0.25">
      <c r="K116" s="34"/>
      <c r="N116" s="34"/>
      <c r="Q116" s="34"/>
      <c r="T116" s="34"/>
      <c r="Y116" s="34"/>
    </row>
    <row r="117" spans="11:25" x14ac:dyDescent="0.25">
      <c r="K117" s="34"/>
      <c r="N117" s="34"/>
      <c r="Q117" s="34"/>
      <c r="T117" s="34"/>
      <c r="Y117" s="34"/>
    </row>
  </sheetData>
  <pageMargins left="0.5" right="0.5" top="0.5" bottom="0.3" header="0" footer="0"/>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33"/>
  <sheetViews>
    <sheetView showGridLines="0" workbookViewId="0">
      <selection activeCell="B2" sqref="B2"/>
    </sheetView>
  </sheetViews>
  <sheetFormatPr defaultRowHeight="12.5" x14ac:dyDescent="0.25"/>
  <cols>
    <col min="1" max="1" width="4" customWidth="1"/>
    <col min="2" max="2" width="4.26953125" customWidth="1"/>
    <col min="3" max="3" width="25.453125" customWidth="1"/>
    <col min="4" max="4" width="7.7265625" customWidth="1"/>
    <col min="5" max="5" width="2.26953125" customWidth="1"/>
    <col min="6" max="6" width="7.7265625" customWidth="1"/>
    <col min="7" max="7" width="2.81640625" customWidth="1"/>
    <col min="8" max="8" width="8.7265625" customWidth="1"/>
    <col min="9" max="9" width="3.453125" customWidth="1"/>
    <col min="10" max="10" width="8.7265625" customWidth="1"/>
    <col min="11" max="11" width="3.453125" customWidth="1"/>
    <col min="12" max="16" width="8.7265625" customWidth="1"/>
    <col min="17" max="17" width="3.26953125" customWidth="1"/>
    <col min="18" max="20" width="8.7265625" customWidth="1"/>
    <col min="21" max="21" width="11" customWidth="1"/>
    <col min="22" max="22" width="11.6328125" customWidth="1"/>
    <col min="23" max="23" width="8.7265625" customWidth="1"/>
    <col min="24" max="24" width="11.7265625" customWidth="1"/>
    <col min="25" max="25" width="8.7265625" customWidth="1"/>
    <col min="26" max="26" width="10.36328125" customWidth="1"/>
  </cols>
  <sheetData>
    <row r="1" spans="1:27" x14ac:dyDescent="0.25">
      <c r="A1" t="s">
        <v>22</v>
      </c>
    </row>
    <row r="2" spans="1:27" ht="18" x14ac:dyDescent="0.4">
      <c r="B2" s="24" t="s">
        <v>0</v>
      </c>
    </row>
    <row r="4" spans="1:27" x14ac:dyDescent="0.25">
      <c r="X4" s="36"/>
      <c r="Y4" s="36"/>
      <c r="Z4" s="36"/>
      <c r="AA4" s="36"/>
    </row>
    <row r="5" spans="1:27" s="12" customFormat="1" ht="16" thickBot="1" x14ac:dyDescent="0.4">
      <c r="B5" s="26" t="s">
        <v>63</v>
      </c>
      <c r="C5" s="27"/>
      <c r="D5" s="27"/>
      <c r="E5" s="27"/>
      <c r="F5" s="28"/>
      <c r="G5" s="28"/>
      <c r="H5" s="28"/>
      <c r="I5" s="28"/>
      <c r="J5" s="28"/>
      <c r="K5" s="28"/>
      <c r="L5" s="28"/>
      <c r="M5" s="28"/>
      <c r="N5" s="28"/>
      <c r="O5" s="28"/>
      <c r="P5" s="28"/>
      <c r="R5" s="28"/>
      <c r="S5" s="28"/>
      <c r="T5" s="28"/>
      <c r="U5" s="28"/>
      <c r="V5" s="28"/>
      <c r="W5" s="28"/>
      <c r="X5" s="44"/>
      <c r="Y5" s="44"/>
      <c r="Z5" s="44"/>
      <c r="AA5" s="51"/>
    </row>
    <row r="6" spans="1:27" s="12" customFormat="1" ht="6" customHeight="1" thickTop="1" x14ac:dyDescent="0.3">
      <c r="A6" s="13"/>
      <c r="B6"/>
      <c r="C6" s="14"/>
      <c r="D6" s="15"/>
      <c r="E6" s="16"/>
      <c r="X6" s="51"/>
      <c r="Y6" s="51"/>
      <c r="Z6" s="51"/>
      <c r="AA6" s="51"/>
    </row>
    <row r="7" spans="1:27" s="12" customFormat="1" ht="19.5" customHeight="1" x14ac:dyDescent="0.3">
      <c r="A7" s="13"/>
      <c r="B7"/>
      <c r="C7" s="14"/>
      <c r="D7" s="15"/>
      <c r="E7" s="16"/>
      <c r="U7" s="99" t="s">
        <v>89</v>
      </c>
      <c r="V7" s="99" t="s">
        <v>90</v>
      </c>
      <c r="W7" s="99" t="s">
        <v>91</v>
      </c>
      <c r="X7" s="100" t="s">
        <v>89</v>
      </c>
      <c r="Y7" s="100" t="s">
        <v>90</v>
      </c>
      <c r="Z7" s="100" t="s">
        <v>91</v>
      </c>
      <c r="AA7" s="51"/>
    </row>
    <row r="8" spans="1:27" s="12" customFormat="1" ht="13" x14ac:dyDescent="0.3">
      <c r="A8" s="13"/>
      <c r="B8"/>
      <c r="C8" s="14"/>
      <c r="D8" s="33">
        <v>2015</v>
      </c>
      <c r="E8" s="29"/>
      <c r="F8" s="33">
        <v>2016</v>
      </c>
      <c r="G8" s="43"/>
      <c r="H8" s="33">
        <v>2017</v>
      </c>
      <c r="I8" s="94"/>
      <c r="J8" s="33">
        <v>2018</v>
      </c>
      <c r="L8" s="33" t="s">
        <v>54</v>
      </c>
      <c r="M8" s="33" t="s">
        <v>55</v>
      </c>
      <c r="N8" s="33" t="s">
        <v>56</v>
      </c>
      <c r="O8" s="33" t="s">
        <v>57</v>
      </c>
      <c r="P8" s="33" t="s">
        <v>1</v>
      </c>
      <c r="R8" s="33" t="s">
        <v>65</v>
      </c>
      <c r="S8" s="33" t="s">
        <v>66</v>
      </c>
      <c r="T8" s="33" t="s">
        <v>67</v>
      </c>
      <c r="U8" s="33" t="s">
        <v>68</v>
      </c>
      <c r="V8" s="33" t="s">
        <v>68</v>
      </c>
      <c r="W8" s="33" t="s">
        <v>68</v>
      </c>
      <c r="X8" s="101" t="s">
        <v>86</v>
      </c>
      <c r="Y8" s="101" t="s">
        <v>86</v>
      </c>
      <c r="Z8" s="101" t="s">
        <v>86</v>
      </c>
      <c r="AA8" s="51"/>
    </row>
    <row r="9" spans="1:27" s="12" customFormat="1" ht="13" x14ac:dyDescent="0.3">
      <c r="B9" s="37" t="s">
        <v>8</v>
      </c>
      <c r="C9" s="17"/>
      <c r="D9"/>
      <c r="E9"/>
      <c r="X9" s="51"/>
      <c r="Y9" s="51"/>
      <c r="Z9" s="51"/>
      <c r="AA9" s="51"/>
    </row>
    <row r="10" spans="1:27" s="12" customFormat="1" x14ac:dyDescent="0.25">
      <c r="B10" s="5" t="s">
        <v>11</v>
      </c>
      <c r="C10" s="17"/>
      <c r="D10" s="22">
        <v>64</v>
      </c>
      <c r="E10" s="22"/>
      <c r="F10" s="18">
        <v>57</v>
      </c>
      <c r="H10" s="76">
        <v>52</v>
      </c>
      <c r="I10" s="76"/>
      <c r="J10" s="76">
        <v>53</v>
      </c>
      <c r="L10" s="18">
        <v>55</v>
      </c>
      <c r="M10" s="76">
        <v>52</v>
      </c>
      <c r="N10" s="76">
        <v>51</v>
      </c>
      <c r="O10" s="76">
        <v>50</v>
      </c>
      <c r="P10" s="76">
        <v>52</v>
      </c>
      <c r="R10" s="18">
        <v>47</v>
      </c>
      <c r="S10" s="76">
        <v>41</v>
      </c>
      <c r="T10" s="76">
        <v>40</v>
      </c>
      <c r="U10" s="76">
        <v>38</v>
      </c>
      <c r="V10" s="76">
        <v>38</v>
      </c>
      <c r="W10" s="76">
        <v>38</v>
      </c>
      <c r="X10" s="76">
        <v>42</v>
      </c>
      <c r="Y10" s="76">
        <v>38</v>
      </c>
      <c r="Z10" s="76">
        <v>42</v>
      </c>
      <c r="AA10" s="76"/>
    </row>
    <row r="11" spans="1:27" s="12" customFormat="1" x14ac:dyDescent="0.25">
      <c r="B11" s="5" t="s">
        <v>12</v>
      </c>
      <c r="C11" s="17"/>
      <c r="D11" s="22">
        <v>34</v>
      </c>
      <c r="E11" s="22"/>
      <c r="F11" s="18">
        <v>29</v>
      </c>
      <c r="H11" s="76">
        <v>27</v>
      </c>
      <c r="I11" s="76"/>
      <c r="J11" s="76">
        <v>25</v>
      </c>
      <c r="L11" s="18">
        <v>25</v>
      </c>
      <c r="M11" s="76">
        <v>23</v>
      </c>
      <c r="N11" s="76">
        <v>24</v>
      </c>
      <c r="O11" s="76">
        <v>23</v>
      </c>
      <c r="P11" s="76">
        <v>24</v>
      </c>
      <c r="R11" s="18">
        <v>26</v>
      </c>
      <c r="S11" s="76">
        <v>27</v>
      </c>
      <c r="T11" s="76">
        <v>22</v>
      </c>
      <c r="U11" s="76">
        <v>23</v>
      </c>
      <c r="V11" s="76">
        <v>23</v>
      </c>
      <c r="W11" s="76">
        <v>23</v>
      </c>
      <c r="X11" s="76">
        <v>25</v>
      </c>
      <c r="Y11" s="76">
        <v>23</v>
      </c>
      <c r="Z11" s="76">
        <v>24</v>
      </c>
      <c r="AA11" s="51"/>
    </row>
    <row r="12" spans="1:27" s="12" customFormat="1" x14ac:dyDescent="0.25">
      <c r="B12" s="5" t="s">
        <v>13</v>
      </c>
      <c r="C12" s="17"/>
      <c r="D12" s="22">
        <v>6</v>
      </c>
      <c r="E12" s="22"/>
      <c r="F12" s="18">
        <v>5</v>
      </c>
      <c r="H12" s="76">
        <v>4</v>
      </c>
      <c r="I12" s="76"/>
      <c r="J12" s="76">
        <v>4</v>
      </c>
      <c r="L12" s="18">
        <v>4</v>
      </c>
      <c r="M12" s="76">
        <v>4</v>
      </c>
      <c r="N12" s="76">
        <v>4</v>
      </c>
      <c r="O12" s="76">
        <v>3</v>
      </c>
      <c r="P12" s="76">
        <v>4</v>
      </c>
      <c r="R12" s="18">
        <v>4</v>
      </c>
      <c r="S12" s="76">
        <v>2</v>
      </c>
      <c r="T12" s="76">
        <v>2</v>
      </c>
      <c r="U12" s="76">
        <v>2</v>
      </c>
      <c r="V12" s="76">
        <v>2</v>
      </c>
      <c r="W12" s="76">
        <v>2</v>
      </c>
      <c r="X12" s="76">
        <v>3</v>
      </c>
      <c r="Y12" s="76">
        <v>2</v>
      </c>
      <c r="Z12" s="76">
        <v>3</v>
      </c>
      <c r="AA12" s="51"/>
    </row>
    <row r="13" spans="1:27" s="12" customFormat="1" x14ac:dyDescent="0.25">
      <c r="B13" s="5" t="s">
        <v>15</v>
      </c>
      <c r="C13" s="17"/>
      <c r="D13" s="19">
        <f>SUM(D10:D12)</f>
        <v>104</v>
      </c>
      <c r="E13" s="52"/>
      <c r="F13" s="19">
        <f>SUM(F10:F12)</f>
        <v>91</v>
      </c>
      <c r="G13"/>
      <c r="H13" s="80">
        <f>SUM(H10:H12)</f>
        <v>83</v>
      </c>
      <c r="I13" s="76"/>
      <c r="J13" s="19">
        <f>SUM(J10:J12)</f>
        <v>82</v>
      </c>
      <c r="K13" s="32"/>
      <c r="L13" s="19">
        <f>SUM(L10:L12)</f>
        <v>84</v>
      </c>
      <c r="M13" s="19">
        <f>SUM(M10:M12)</f>
        <v>79</v>
      </c>
      <c r="N13" s="80">
        <f>SUM(N10:N12)</f>
        <v>79</v>
      </c>
      <c r="O13" s="80">
        <f>SUM(O10:O12)</f>
        <v>76</v>
      </c>
      <c r="P13" s="80">
        <f>SUM(P10:P12)</f>
        <v>80</v>
      </c>
      <c r="R13" s="19">
        <f>SUM(R10:R12)</f>
        <v>77</v>
      </c>
      <c r="S13" s="19">
        <f>SUM(S10:S12)</f>
        <v>70</v>
      </c>
      <c r="T13" s="80">
        <f>SUM(T10:T12)</f>
        <v>64</v>
      </c>
      <c r="U13" s="80">
        <f t="shared" ref="U13:V13" si="0">SUM(U10:U12)</f>
        <v>63</v>
      </c>
      <c r="V13" s="80">
        <f t="shared" si="0"/>
        <v>63</v>
      </c>
      <c r="W13" s="80">
        <f>SUM(W10:W12)</f>
        <v>63</v>
      </c>
      <c r="X13" s="80">
        <f t="shared" ref="X13:Y13" si="1">SUM(X10:X12)</f>
        <v>70</v>
      </c>
      <c r="Y13" s="80">
        <f t="shared" si="1"/>
        <v>63</v>
      </c>
      <c r="Z13" s="80">
        <f>SUM(Z10:Z12)</f>
        <v>69</v>
      </c>
      <c r="AA13" s="51"/>
    </row>
    <row r="14" spans="1:27" s="12" customFormat="1" x14ac:dyDescent="0.25">
      <c r="B14" s="20"/>
      <c r="C14" s="8"/>
      <c r="D14" s="22"/>
      <c r="E14" s="22"/>
      <c r="F14" s="32"/>
      <c r="H14" s="81"/>
      <c r="I14" s="81"/>
      <c r="J14" s="81"/>
      <c r="L14" s="32"/>
      <c r="M14" s="32"/>
      <c r="N14" s="81"/>
      <c r="O14" s="81"/>
      <c r="P14" s="81"/>
      <c r="R14" s="32"/>
      <c r="S14" s="32"/>
      <c r="T14" s="81"/>
      <c r="U14" s="81"/>
      <c r="V14" s="81"/>
      <c r="W14" s="81"/>
      <c r="X14" s="81"/>
      <c r="Y14" s="81"/>
      <c r="Z14" s="81"/>
      <c r="AA14" s="51"/>
    </row>
    <row r="15" spans="1:27" s="12" customFormat="1" ht="13" x14ac:dyDescent="0.3">
      <c r="B15" s="37" t="s">
        <v>9</v>
      </c>
      <c r="C15" s="17"/>
      <c r="D15" s="22"/>
      <c r="E15" s="22"/>
      <c r="F15" s="32"/>
      <c r="H15" s="81"/>
      <c r="I15" s="81"/>
      <c r="J15" s="81"/>
      <c r="L15" s="32"/>
      <c r="M15" s="32"/>
      <c r="N15" s="81"/>
      <c r="O15" s="81"/>
      <c r="P15" s="81"/>
      <c r="R15" s="32"/>
      <c r="S15" s="32"/>
      <c r="T15" s="81"/>
      <c r="U15" s="81"/>
      <c r="V15" s="81"/>
      <c r="W15" s="81"/>
      <c r="X15" s="81"/>
      <c r="Y15" s="81"/>
      <c r="Z15" s="81"/>
      <c r="AA15" s="51"/>
    </row>
    <row r="16" spans="1:27" s="12" customFormat="1" x14ac:dyDescent="0.25">
      <c r="B16" s="5" t="s">
        <v>11</v>
      </c>
      <c r="C16" s="17"/>
      <c r="D16" s="22">
        <v>17</v>
      </c>
      <c r="E16" s="22"/>
      <c r="F16" s="18">
        <v>15</v>
      </c>
      <c r="H16" s="76">
        <v>15</v>
      </c>
      <c r="I16" s="76"/>
      <c r="J16" s="76">
        <v>15</v>
      </c>
      <c r="L16" s="18">
        <v>14</v>
      </c>
      <c r="M16" s="18">
        <v>15</v>
      </c>
      <c r="N16" s="76">
        <v>16</v>
      </c>
      <c r="O16" s="76">
        <v>15</v>
      </c>
      <c r="P16" s="76">
        <v>15</v>
      </c>
      <c r="R16" s="18">
        <v>13.7</v>
      </c>
      <c r="S16" s="18">
        <v>13</v>
      </c>
      <c r="T16" s="76">
        <v>14</v>
      </c>
      <c r="U16" s="76">
        <v>13</v>
      </c>
      <c r="V16" s="76">
        <v>12</v>
      </c>
      <c r="W16" s="76">
        <v>13</v>
      </c>
      <c r="X16" s="76">
        <v>13</v>
      </c>
      <c r="Y16" s="76">
        <v>12</v>
      </c>
      <c r="Z16" s="76">
        <v>13</v>
      </c>
      <c r="AA16" s="51"/>
    </row>
    <row r="17" spans="2:27" s="12" customFormat="1" x14ac:dyDescent="0.25">
      <c r="B17" s="5" t="s">
        <v>13</v>
      </c>
      <c r="C17" s="17"/>
      <c r="D17" s="22">
        <v>1</v>
      </c>
      <c r="E17" s="22"/>
      <c r="F17" s="18">
        <v>1</v>
      </c>
      <c r="H17" s="76">
        <v>1</v>
      </c>
      <c r="I17" s="76"/>
      <c r="J17" s="76">
        <v>1</v>
      </c>
      <c r="L17" s="18">
        <v>1</v>
      </c>
      <c r="M17" s="18">
        <v>1</v>
      </c>
      <c r="N17" s="76">
        <v>0</v>
      </c>
      <c r="O17" s="76">
        <v>0</v>
      </c>
      <c r="P17" s="76">
        <v>0</v>
      </c>
      <c r="R17" s="18">
        <v>0</v>
      </c>
      <c r="S17" s="18">
        <v>0</v>
      </c>
      <c r="T17" s="76">
        <v>0</v>
      </c>
      <c r="U17" s="76"/>
      <c r="V17" s="76"/>
      <c r="W17" s="76">
        <v>0</v>
      </c>
      <c r="X17" s="76"/>
      <c r="Y17" s="76"/>
      <c r="Z17" s="76">
        <v>0</v>
      </c>
      <c r="AA17" s="51"/>
    </row>
    <row r="18" spans="2:27" s="12" customFormat="1" x14ac:dyDescent="0.25">
      <c r="B18" s="5" t="s">
        <v>15</v>
      </c>
      <c r="C18" s="17"/>
      <c r="D18" s="21">
        <f>SUM(D16:D17)</f>
        <v>18</v>
      </c>
      <c r="E18" s="52"/>
      <c r="F18" s="21">
        <f>SUM(F16:F17)</f>
        <v>16</v>
      </c>
      <c r="G18"/>
      <c r="H18" s="82">
        <f>SUM(H16:H17)</f>
        <v>16</v>
      </c>
      <c r="I18" s="85"/>
      <c r="J18" s="21">
        <f>SUM(J16:J17)</f>
        <v>16</v>
      </c>
      <c r="L18" s="21">
        <f>SUM(L16:L17)</f>
        <v>15</v>
      </c>
      <c r="M18" s="21">
        <f>SUM(M16:M17)</f>
        <v>16</v>
      </c>
      <c r="N18" s="82">
        <f>SUM(N16:N17)</f>
        <v>16</v>
      </c>
      <c r="O18" s="82">
        <f>SUM(O16:O17)</f>
        <v>15</v>
      </c>
      <c r="P18" s="82">
        <f>SUM(P16:P17)</f>
        <v>15</v>
      </c>
      <c r="R18" s="21">
        <f>SUM(R16:R17)</f>
        <v>13.7</v>
      </c>
      <c r="S18" s="21">
        <f>SUM(S16:S17)</f>
        <v>13</v>
      </c>
      <c r="T18" s="82">
        <f>SUM(T16:T17)</f>
        <v>14</v>
      </c>
      <c r="U18" s="82">
        <f t="shared" ref="U18:V18" si="2">SUM(U16:U17)</f>
        <v>13</v>
      </c>
      <c r="V18" s="82">
        <f t="shared" si="2"/>
        <v>12</v>
      </c>
      <c r="W18" s="82">
        <f>SUM(W16:W17)</f>
        <v>13</v>
      </c>
      <c r="X18" s="82">
        <f t="shared" ref="X18:Y18" si="3">SUM(X16:X17)</f>
        <v>13</v>
      </c>
      <c r="Y18" s="82">
        <f t="shared" si="3"/>
        <v>12</v>
      </c>
      <c r="Z18" s="82">
        <f>SUM(Z16:Z17)</f>
        <v>13</v>
      </c>
      <c r="AA18" s="51"/>
    </row>
    <row r="19" spans="2:27" s="12" customFormat="1" x14ac:dyDescent="0.25">
      <c r="B19" s="20"/>
      <c r="C19" s="8"/>
      <c r="D19" s="22"/>
      <c r="E19" s="22"/>
      <c r="F19" s="32"/>
      <c r="H19" s="81"/>
      <c r="I19" s="81"/>
      <c r="J19" s="81"/>
      <c r="L19" s="32"/>
      <c r="M19" s="32"/>
      <c r="N19" s="81"/>
      <c r="O19" s="81"/>
      <c r="P19" s="81"/>
      <c r="R19" s="32"/>
      <c r="S19" s="32"/>
      <c r="T19" s="81"/>
      <c r="U19" s="81"/>
      <c r="V19" s="81"/>
      <c r="W19" s="81"/>
      <c r="X19" s="81"/>
      <c r="Y19" s="81"/>
      <c r="Z19" s="81"/>
      <c r="AA19" s="51"/>
    </row>
    <row r="20" spans="2:27" s="12" customFormat="1" ht="13" x14ac:dyDescent="0.3">
      <c r="B20" s="38" t="s">
        <v>10</v>
      </c>
      <c r="C20"/>
      <c r="D20" s="22"/>
      <c r="E20" s="22"/>
      <c r="F20" s="32"/>
      <c r="H20" s="81"/>
      <c r="I20" s="81"/>
      <c r="J20" s="81"/>
      <c r="L20" s="32"/>
      <c r="M20" s="32"/>
      <c r="N20" s="81"/>
      <c r="O20" s="81"/>
      <c r="P20" s="81"/>
      <c r="R20" s="32"/>
      <c r="S20" s="32"/>
      <c r="T20" s="81"/>
      <c r="U20" s="81"/>
      <c r="V20" s="81"/>
      <c r="W20" s="81"/>
      <c r="X20" s="81"/>
      <c r="Y20" s="81"/>
      <c r="Z20" s="81"/>
      <c r="AA20" s="51"/>
    </row>
    <row r="21" spans="2:27" s="12" customFormat="1" x14ac:dyDescent="0.25">
      <c r="B21" s="5" t="s">
        <v>11</v>
      </c>
      <c r="C21" s="22"/>
      <c r="D21" s="22">
        <v>172</v>
      </c>
      <c r="E21" s="22"/>
      <c r="F21" s="18">
        <v>150</v>
      </c>
      <c r="H21" s="76">
        <v>140</v>
      </c>
      <c r="I21" s="76"/>
      <c r="J21" s="76">
        <v>165</v>
      </c>
      <c r="L21" s="18">
        <v>165</v>
      </c>
      <c r="M21" s="18">
        <v>164</v>
      </c>
      <c r="N21" s="76">
        <v>162</v>
      </c>
      <c r="O21" s="76">
        <v>157</v>
      </c>
      <c r="P21" s="76">
        <v>162</v>
      </c>
      <c r="R21" s="18">
        <v>152</v>
      </c>
      <c r="S21" s="18">
        <v>148</v>
      </c>
      <c r="T21" s="76">
        <v>142</v>
      </c>
      <c r="U21" s="76">
        <v>139</v>
      </c>
      <c r="V21" s="76">
        <v>138</v>
      </c>
      <c r="W21" s="76">
        <v>138</v>
      </c>
      <c r="X21" s="76">
        <v>147</v>
      </c>
      <c r="Y21" s="76">
        <v>138</v>
      </c>
      <c r="Z21" s="76">
        <v>145</v>
      </c>
      <c r="AA21" s="51"/>
    </row>
    <row r="22" spans="2:27" s="12" customFormat="1" x14ac:dyDescent="0.25">
      <c r="B22" s="5" t="s">
        <v>12</v>
      </c>
      <c r="C22"/>
      <c r="D22" s="22">
        <v>2</v>
      </c>
      <c r="E22" s="22"/>
      <c r="F22" s="18">
        <v>3</v>
      </c>
      <c r="H22" s="76">
        <v>1</v>
      </c>
      <c r="I22" s="76"/>
      <c r="J22" s="76">
        <v>1</v>
      </c>
      <c r="L22" s="18">
        <v>2</v>
      </c>
      <c r="M22" s="18">
        <v>3</v>
      </c>
      <c r="N22" s="76">
        <v>2</v>
      </c>
      <c r="O22" s="76">
        <v>2</v>
      </c>
      <c r="P22" s="76">
        <v>2</v>
      </c>
      <c r="R22" s="18">
        <v>2</v>
      </c>
      <c r="S22" s="18">
        <v>2</v>
      </c>
      <c r="T22" s="76">
        <v>2</v>
      </c>
      <c r="U22" s="76">
        <v>1</v>
      </c>
      <c r="V22" s="76">
        <v>1</v>
      </c>
      <c r="W22" s="76">
        <v>2</v>
      </c>
      <c r="X22" s="76">
        <v>2</v>
      </c>
      <c r="Y22" s="76">
        <v>1</v>
      </c>
      <c r="Z22" s="76">
        <v>2</v>
      </c>
      <c r="AA22" s="51"/>
    </row>
    <row r="23" spans="2:27" s="12" customFormat="1" x14ac:dyDescent="0.25">
      <c r="B23" s="5" t="s">
        <v>13</v>
      </c>
      <c r="C23"/>
      <c r="D23" s="22">
        <v>11</v>
      </c>
      <c r="E23" s="22"/>
      <c r="F23" s="18">
        <v>8</v>
      </c>
      <c r="H23" s="76">
        <v>8</v>
      </c>
      <c r="I23" s="76"/>
      <c r="J23" s="76">
        <v>7</v>
      </c>
      <c r="L23" s="18">
        <v>7</v>
      </c>
      <c r="M23" s="18">
        <v>6</v>
      </c>
      <c r="N23" s="76">
        <v>4</v>
      </c>
      <c r="O23" s="76">
        <v>5</v>
      </c>
      <c r="P23" s="76">
        <v>5</v>
      </c>
      <c r="R23" s="18">
        <v>6</v>
      </c>
      <c r="S23" s="18">
        <v>3</v>
      </c>
      <c r="T23" s="76">
        <v>4</v>
      </c>
      <c r="U23" s="76">
        <v>3</v>
      </c>
      <c r="V23" s="76">
        <v>3</v>
      </c>
      <c r="W23" s="76">
        <v>3</v>
      </c>
      <c r="X23" s="76">
        <v>4</v>
      </c>
      <c r="Y23" s="76">
        <v>3</v>
      </c>
      <c r="Z23" s="76">
        <v>4</v>
      </c>
      <c r="AA23" s="51"/>
    </row>
    <row r="24" spans="2:27" s="12" customFormat="1" x14ac:dyDescent="0.25">
      <c r="B24" s="5" t="s">
        <v>14</v>
      </c>
      <c r="C24"/>
      <c r="D24" s="22">
        <v>44</v>
      </c>
      <c r="E24" s="22"/>
      <c r="F24" s="18">
        <v>36</v>
      </c>
      <c r="H24" s="76">
        <v>33</v>
      </c>
      <c r="I24" s="76"/>
      <c r="J24" s="76">
        <v>29</v>
      </c>
      <c r="L24" s="18">
        <v>28</v>
      </c>
      <c r="M24" s="18">
        <v>30</v>
      </c>
      <c r="N24" s="76">
        <v>28</v>
      </c>
      <c r="O24" s="76">
        <v>26</v>
      </c>
      <c r="P24" s="76">
        <v>28</v>
      </c>
      <c r="R24" s="18">
        <v>23</v>
      </c>
      <c r="S24" s="18">
        <v>21</v>
      </c>
      <c r="T24" s="76">
        <v>20</v>
      </c>
      <c r="U24" s="76">
        <v>19</v>
      </c>
      <c r="V24" s="76">
        <v>23</v>
      </c>
      <c r="W24" s="76">
        <v>20</v>
      </c>
      <c r="X24" s="76">
        <v>21</v>
      </c>
      <c r="Y24" s="76">
        <v>23</v>
      </c>
      <c r="Z24" s="76">
        <v>21</v>
      </c>
      <c r="AA24" s="51"/>
    </row>
    <row r="25" spans="2:27" s="12" customFormat="1" x14ac:dyDescent="0.25">
      <c r="B25" s="5" t="s">
        <v>15</v>
      </c>
      <c r="C25"/>
      <c r="D25" s="21">
        <f>SUM(D21:D24)</f>
        <v>229</v>
      </c>
      <c r="E25" s="52"/>
      <c r="F25" s="21">
        <f>SUM(F21:F24)</f>
        <v>197</v>
      </c>
      <c r="G25"/>
      <c r="H25" s="82">
        <f>SUM(H21:H24)</f>
        <v>182</v>
      </c>
      <c r="I25" s="85"/>
      <c r="J25" s="21">
        <f>SUM(J21:J24)</f>
        <v>202</v>
      </c>
      <c r="L25" s="21">
        <f>SUM(L21:L24)</f>
        <v>202</v>
      </c>
      <c r="M25" s="21">
        <f>SUM(M21:M24)</f>
        <v>203</v>
      </c>
      <c r="N25" s="82">
        <f>SUM(N21:N24)</f>
        <v>196</v>
      </c>
      <c r="O25" s="82">
        <f>SUM(O21:O24)</f>
        <v>190</v>
      </c>
      <c r="P25" s="82">
        <f>SUM(P21:P24)</f>
        <v>197</v>
      </c>
      <c r="R25" s="21">
        <f>SUM(R21:R24)</f>
        <v>183</v>
      </c>
      <c r="S25" s="21">
        <f>SUM(S21:S24)</f>
        <v>174</v>
      </c>
      <c r="T25" s="82">
        <f>SUM(T21:T24)</f>
        <v>168</v>
      </c>
      <c r="U25" s="82">
        <f t="shared" ref="U25:V25" si="4">SUM(U21:U24)</f>
        <v>162</v>
      </c>
      <c r="V25" s="82">
        <f t="shared" si="4"/>
        <v>165</v>
      </c>
      <c r="W25" s="82">
        <f>SUM(W21:W24)</f>
        <v>163</v>
      </c>
      <c r="X25" s="82">
        <f t="shared" ref="X25:Y25" si="5">SUM(X21:X24)</f>
        <v>174</v>
      </c>
      <c r="Y25" s="82">
        <f t="shared" si="5"/>
        <v>165</v>
      </c>
      <c r="Z25" s="82">
        <f>SUM(Z21:Z24)</f>
        <v>172</v>
      </c>
      <c r="AA25" s="85"/>
    </row>
    <row r="26" spans="2:27" s="12" customFormat="1" x14ac:dyDescent="0.25">
      <c r="B26"/>
      <c r="C26"/>
      <c r="D26" s="22"/>
      <c r="E26" s="22"/>
      <c r="F26" s="32"/>
      <c r="H26" s="81"/>
      <c r="I26" s="81"/>
      <c r="J26" s="81"/>
      <c r="L26" s="32"/>
      <c r="M26" s="32"/>
      <c r="N26" s="81"/>
      <c r="O26" s="81"/>
      <c r="P26" s="81"/>
      <c r="R26" s="32"/>
      <c r="S26" s="32"/>
      <c r="T26" s="81"/>
      <c r="U26" s="81"/>
      <c r="V26" s="81"/>
      <c r="W26" s="81"/>
      <c r="X26" s="81"/>
      <c r="Y26" s="81"/>
      <c r="Z26" s="81"/>
      <c r="AA26" s="51"/>
    </row>
    <row r="27" spans="2:27" s="12" customFormat="1" ht="15.5" thickBot="1" x14ac:dyDescent="0.35">
      <c r="B27" s="23" t="s">
        <v>38</v>
      </c>
      <c r="C27"/>
      <c r="D27" s="61">
        <f>D13+D18+(D25/6)</f>
        <v>160.16666666666666</v>
      </c>
      <c r="E27" s="52"/>
      <c r="F27" s="61">
        <f>F13+F18+(F25/6)</f>
        <v>139.83333333333334</v>
      </c>
      <c r="G27"/>
      <c r="H27" s="83">
        <f>H13+H18+(H25/6)</f>
        <v>129.33333333333334</v>
      </c>
      <c r="I27" s="85"/>
      <c r="J27" s="61">
        <f>J13+J18+(J25/6)</f>
        <v>131.66666666666666</v>
      </c>
      <c r="L27" s="61">
        <f>L13+L18+(L25/6)</f>
        <v>132.66666666666666</v>
      </c>
      <c r="M27" s="61">
        <f>M13+M18+(M25/6)</f>
        <v>128.83333333333334</v>
      </c>
      <c r="N27" s="83">
        <f>N13+N18+(N25/6)</f>
        <v>127.66666666666666</v>
      </c>
      <c r="O27" s="83">
        <f>O13+O18+(O25/6)</f>
        <v>122.66666666666667</v>
      </c>
      <c r="P27" s="83">
        <f>P13+P18+(P25/6)</f>
        <v>127.83333333333334</v>
      </c>
      <c r="R27" s="61">
        <f>R13+R18+(R25/6)</f>
        <v>121.2</v>
      </c>
      <c r="S27" s="61">
        <f>S13+S18+(S25/6)</f>
        <v>112</v>
      </c>
      <c r="T27" s="83">
        <f>T13+T18+(T25/6)</f>
        <v>106</v>
      </c>
      <c r="U27" s="83">
        <f t="shared" ref="U27:V27" si="6">U13+U18+(U25/6)</f>
        <v>103</v>
      </c>
      <c r="V27" s="83">
        <f t="shared" si="6"/>
        <v>102.5</v>
      </c>
      <c r="W27" s="83">
        <f>W13+W18+(W25/6)</f>
        <v>103.16666666666667</v>
      </c>
      <c r="X27" s="83">
        <f t="shared" ref="X27:Y27" si="7">X13+X18+(X25/6)</f>
        <v>112</v>
      </c>
      <c r="Y27" s="83">
        <f t="shared" si="7"/>
        <v>102.5</v>
      </c>
      <c r="Z27" s="83">
        <f>Z13+Z18+(Z25/6)</f>
        <v>110.66666666666667</v>
      </c>
      <c r="AA27" s="81"/>
    </row>
    <row r="28" spans="2:27" s="12" customFormat="1" ht="13.5" thickTop="1" x14ac:dyDescent="0.3">
      <c r="B28" s="23"/>
      <c r="C28"/>
      <c r="D28" s="16"/>
      <c r="E28" s="52"/>
      <c r="F28" s="16"/>
      <c r="G28"/>
      <c r="H28" s="85"/>
      <c r="I28" s="85"/>
      <c r="J28" s="85"/>
      <c r="L28" s="16"/>
      <c r="M28" s="16"/>
      <c r="N28" s="16"/>
      <c r="O28" s="85"/>
      <c r="P28" s="85"/>
      <c r="R28" s="16"/>
      <c r="S28" s="16"/>
      <c r="T28" s="85"/>
      <c r="U28" s="85"/>
      <c r="V28" s="85"/>
      <c r="W28" s="85"/>
      <c r="X28" s="85"/>
      <c r="Y28" s="85"/>
      <c r="Z28" s="76"/>
      <c r="AA28" s="51"/>
    </row>
    <row r="29" spans="2:27" x14ac:dyDescent="0.25">
      <c r="T29" s="36"/>
      <c r="U29" s="36"/>
      <c r="V29" s="36"/>
      <c r="W29" s="36"/>
      <c r="X29" s="36"/>
      <c r="Y29" s="36"/>
      <c r="Z29" s="36"/>
      <c r="AA29" s="36"/>
    </row>
    <row r="30" spans="2:27" x14ac:dyDescent="0.25">
      <c r="B30" s="84" t="s">
        <v>41</v>
      </c>
      <c r="X30" s="36"/>
      <c r="Y30" s="36"/>
      <c r="Z30" s="36"/>
      <c r="AA30" s="36"/>
    </row>
    <row r="31" spans="2:27" ht="4.1500000000000004" customHeight="1" x14ac:dyDescent="0.25">
      <c r="B31" s="84"/>
      <c r="X31" s="36"/>
      <c r="Y31" s="36"/>
      <c r="Z31" s="36"/>
      <c r="AA31" s="36"/>
    </row>
    <row r="32" spans="2:27" x14ac:dyDescent="0.25">
      <c r="B32" s="84" t="s">
        <v>39</v>
      </c>
      <c r="X32" s="36"/>
      <c r="Y32" s="36"/>
      <c r="Z32" s="36"/>
      <c r="AA32" s="36"/>
    </row>
    <row r="33" spans="2:27" x14ac:dyDescent="0.25">
      <c r="B33" s="84" t="s">
        <v>40</v>
      </c>
      <c r="X33" s="36"/>
      <c r="Y33" s="36"/>
      <c r="Z33" s="36"/>
      <c r="AA33" s="36"/>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election activeCell="Q31" sqref="Q31"/>
    </sheetView>
  </sheetViews>
  <sheetFormatPr defaultRowHeight="12.5" x14ac:dyDescent="0.25"/>
  <cols>
    <col min="1" max="1" width="4" customWidth="1"/>
    <col min="2" max="2" width="13.81640625" customWidth="1"/>
    <col min="3" max="3" width="37.81640625" customWidth="1"/>
    <col min="4" max="4" width="12.453125" bestFit="1" customWidth="1"/>
    <col min="5" max="5" width="2.1796875" customWidth="1"/>
    <col min="6" max="6" width="12" bestFit="1" customWidth="1"/>
    <col min="7" max="7" width="2.453125" customWidth="1"/>
    <col min="8" max="8" width="11.453125" customWidth="1"/>
    <col min="9" max="9" width="2.453125" customWidth="1"/>
    <col min="10" max="10" width="11.453125" customWidth="1"/>
    <col min="11" max="11" width="1.54296875" customWidth="1"/>
    <col min="12" max="12" width="9.1796875" customWidth="1"/>
  </cols>
  <sheetData>
    <row r="2" spans="2:12" ht="18" x14ac:dyDescent="0.4">
      <c r="B2" s="24" t="s">
        <v>0</v>
      </c>
    </row>
    <row r="3" spans="2:12" ht="14.25" customHeight="1" x14ac:dyDescent="0.4">
      <c r="B3" s="24"/>
    </row>
    <row r="5" spans="2:12" ht="16" thickBot="1" x14ac:dyDescent="0.4">
      <c r="B5" s="26" t="s">
        <v>2</v>
      </c>
      <c r="C5" s="27"/>
      <c r="D5" s="27"/>
      <c r="E5" s="27"/>
      <c r="F5" s="27"/>
      <c r="G5" s="27"/>
      <c r="H5" s="27"/>
      <c r="I5" s="28"/>
      <c r="J5" s="28"/>
      <c r="K5" s="28"/>
      <c r="L5" s="28"/>
    </row>
    <row r="6" spans="2:12" ht="5.25" customHeight="1" thickTop="1" x14ac:dyDescent="0.25"/>
    <row r="7" spans="2:12" s="30" customFormat="1" ht="13" x14ac:dyDescent="0.3">
      <c r="D7" s="40" t="s">
        <v>3</v>
      </c>
      <c r="E7" s="40"/>
      <c r="F7" s="40" t="s">
        <v>5</v>
      </c>
      <c r="G7" s="40"/>
      <c r="H7" s="40" t="s">
        <v>6</v>
      </c>
      <c r="I7" s="40"/>
      <c r="J7" s="40" t="s">
        <v>7</v>
      </c>
      <c r="K7" s="40"/>
      <c r="L7" s="40"/>
    </row>
    <row r="8" spans="2:12" s="30" customFormat="1" ht="13" x14ac:dyDescent="0.3">
      <c r="D8" s="33" t="s">
        <v>4</v>
      </c>
      <c r="E8" s="40"/>
      <c r="F8" s="33" t="s">
        <v>4</v>
      </c>
      <c r="G8" s="40"/>
      <c r="H8" s="33" t="s">
        <v>4</v>
      </c>
      <c r="I8" s="40"/>
      <c r="J8" s="33" t="s">
        <v>4</v>
      </c>
      <c r="K8" s="40"/>
      <c r="L8" s="33" t="s">
        <v>1</v>
      </c>
    </row>
    <row r="9" spans="2:12" s="30" customFormat="1" x14ac:dyDescent="0.25"/>
    <row r="10" spans="2:12" s="30" customFormat="1" ht="13" x14ac:dyDescent="0.3">
      <c r="B10" s="93" t="s">
        <v>64</v>
      </c>
      <c r="C10" s="59"/>
    </row>
    <row r="11" spans="2:12" s="30" customFormat="1" ht="13" x14ac:dyDescent="0.3">
      <c r="B11" s="11" t="s">
        <v>49</v>
      </c>
    </row>
    <row r="12" spans="2:12" s="30" customFormat="1" x14ac:dyDescent="0.25">
      <c r="B12" t="s">
        <v>19</v>
      </c>
      <c r="D12" s="41">
        <v>171</v>
      </c>
      <c r="E12" s="41"/>
      <c r="F12" s="41">
        <v>85</v>
      </c>
      <c r="G12" s="41"/>
      <c r="H12" s="41">
        <v>10</v>
      </c>
      <c r="I12" s="41"/>
      <c r="J12" s="18">
        <v>0</v>
      </c>
      <c r="K12" s="41"/>
      <c r="L12" s="41">
        <f>SUM(D12:K12)</f>
        <v>266</v>
      </c>
    </row>
    <row r="13" spans="2:12" s="30" customFormat="1" x14ac:dyDescent="0.25">
      <c r="B13" s="12" t="s">
        <v>20</v>
      </c>
      <c r="D13" s="41">
        <v>28</v>
      </c>
      <c r="E13" s="41"/>
      <c r="F13" s="41">
        <v>19</v>
      </c>
      <c r="G13" s="41"/>
      <c r="H13" s="41">
        <v>0</v>
      </c>
      <c r="I13" s="41"/>
      <c r="J13" s="18">
        <v>0</v>
      </c>
      <c r="K13" s="41"/>
      <c r="L13" s="41">
        <f>SUM(D13:K13)</f>
        <v>47</v>
      </c>
    </row>
    <row r="14" spans="2:12" s="30" customFormat="1" x14ac:dyDescent="0.25">
      <c r="B14" s="53" t="s">
        <v>17</v>
      </c>
      <c r="D14" s="54">
        <f>+D13+D12</f>
        <v>199</v>
      </c>
      <c r="E14" s="41"/>
      <c r="F14" s="54">
        <f>+F13+F12</f>
        <v>104</v>
      </c>
      <c r="G14" s="41"/>
      <c r="H14" s="54">
        <f>+H13+H12</f>
        <v>10</v>
      </c>
      <c r="I14" s="41"/>
      <c r="J14" s="54">
        <f>+J13+J12</f>
        <v>0</v>
      </c>
      <c r="K14" s="41"/>
      <c r="L14" s="54">
        <f>+L13+L12</f>
        <v>313</v>
      </c>
    </row>
    <row r="15" spans="2:12" s="30" customFormat="1" x14ac:dyDescent="0.25">
      <c r="D15" s="42"/>
      <c r="E15" s="42"/>
      <c r="F15" s="42"/>
      <c r="G15" s="42"/>
      <c r="H15" s="42"/>
      <c r="I15" s="42"/>
      <c r="J15" s="42"/>
      <c r="K15" s="42"/>
      <c r="L15"/>
    </row>
    <row r="16" spans="2:12" s="30" customFormat="1" ht="13" x14ac:dyDescent="0.3">
      <c r="B16" s="11" t="s">
        <v>50</v>
      </c>
      <c r="D16" s="42"/>
      <c r="E16" s="42"/>
      <c r="F16" s="42"/>
      <c r="G16" s="42"/>
      <c r="H16" s="42"/>
      <c r="I16" s="42"/>
      <c r="J16" s="42"/>
      <c r="K16" s="42"/>
      <c r="L16" s="42"/>
    </row>
    <row r="17" spans="2:13" s="30" customFormat="1" x14ac:dyDescent="0.25">
      <c r="B17" t="s">
        <v>19</v>
      </c>
      <c r="D17" s="41">
        <v>38</v>
      </c>
      <c r="E17" s="41"/>
      <c r="F17" s="41">
        <v>0</v>
      </c>
      <c r="G17" s="41"/>
      <c r="H17" s="41">
        <v>1</v>
      </c>
      <c r="I17" s="41"/>
      <c r="J17" s="18">
        <v>0</v>
      </c>
      <c r="K17" s="41"/>
      <c r="L17" s="41">
        <f>SUM(D17:K17)</f>
        <v>39</v>
      </c>
    </row>
    <row r="18" spans="2:13" s="30" customFormat="1" x14ac:dyDescent="0.25">
      <c r="B18" s="12" t="s">
        <v>20</v>
      </c>
      <c r="D18" s="41">
        <v>2</v>
      </c>
      <c r="E18" s="41"/>
      <c r="F18" s="41">
        <v>0</v>
      </c>
      <c r="G18" s="41"/>
      <c r="H18" s="41">
        <v>0</v>
      </c>
      <c r="I18" s="41"/>
      <c r="J18" s="18">
        <v>0</v>
      </c>
      <c r="K18" s="41"/>
      <c r="L18" s="41">
        <f>SUM(D18:K18)</f>
        <v>2</v>
      </c>
    </row>
    <row r="19" spans="2:13" s="30" customFormat="1" x14ac:dyDescent="0.25">
      <c r="B19" s="53" t="s">
        <v>17</v>
      </c>
      <c r="D19" s="54">
        <f>+D18+D17</f>
        <v>40</v>
      </c>
      <c r="E19" s="41"/>
      <c r="F19" s="54">
        <f>+F18+F17</f>
        <v>0</v>
      </c>
      <c r="G19" s="41"/>
      <c r="H19" s="54">
        <f>+H18+H17</f>
        <v>1</v>
      </c>
      <c r="I19" s="41"/>
      <c r="J19" s="54">
        <f>+J18+J17</f>
        <v>0</v>
      </c>
      <c r="K19" s="41"/>
      <c r="L19" s="54">
        <f>+L18+L17</f>
        <v>41</v>
      </c>
    </row>
    <row r="20" spans="2:13" s="30" customFormat="1" x14ac:dyDescent="0.25">
      <c r="D20" s="41"/>
      <c r="E20" s="41"/>
      <c r="F20" s="41"/>
      <c r="G20" s="41"/>
      <c r="H20" s="41"/>
      <c r="I20" s="41"/>
      <c r="J20" s="18"/>
      <c r="K20" s="41"/>
      <c r="L20"/>
    </row>
    <row r="21" spans="2:13" s="30" customFormat="1" ht="13" x14ac:dyDescent="0.3">
      <c r="B21" s="11" t="s">
        <v>51</v>
      </c>
      <c r="D21" s="41"/>
      <c r="E21" s="41"/>
      <c r="F21" s="41"/>
      <c r="G21" s="41"/>
      <c r="H21" s="41"/>
      <c r="I21" s="41"/>
      <c r="J21" s="18"/>
      <c r="K21" s="41"/>
      <c r="L21" s="41"/>
    </row>
    <row r="22" spans="2:13" s="30" customFormat="1" x14ac:dyDescent="0.25">
      <c r="B22" t="s">
        <v>19</v>
      </c>
      <c r="D22" s="41">
        <v>413</v>
      </c>
      <c r="E22" s="41"/>
      <c r="F22" s="41">
        <v>6</v>
      </c>
      <c r="G22" s="41"/>
      <c r="H22" s="41">
        <v>7</v>
      </c>
      <c r="I22" s="41"/>
      <c r="J22" s="18">
        <v>34</v>
      </c>
      <c r="K22" s="41"/>
      <c r="L22" s="41">
        <f>SUM(D22:K22)</f>
        <v>460</v>
      </c>
    </row>
    <row r="23" spans="2:13" s="30" customFormat="1" x14ac:dyDescent="0.25">
      <c r="B23" s="12" t="s">
        <v>20</v>
      </c>
      <c r="D23" s="41">
        <v>55</v>
      </c>
      <c r="E23" s="41"/>
      <c r="F23" s="41">
        <v>1</v>
      </c>
      <c r="G23" s="41"/>
      <c r="H23" s="41">
        <v>0</v>
      </c>
      <c r="I23" s="41"/>
      <c r="J23" s="18">
        <v>11</v>
      </c>
      <c r="K23" s="41"/>
      <c r="L23" s="41">
        <f>SUM(D23:K23)</f>
        <v>67</v>
      </c>
    </row>
    <row r="24" spans="2:13" s="30" customFormat="1" x14ac:dyDescent="0.25">
      <c r="B24" s="53" t="s">
        <v>17</v>
      </c>
      <c r="D24" s="54">
        <f>+D23+D22</f>
        <v>468</v>
      </c>
      <c r="E24" s="41"/>
      <c r="F24" s="54">
        <f>+F23+F22</f>
        <v>7</v>
      </c>
      <c r="G24" s="41"/>
      <c r="H24" s="54">
        <f>+H23+H22</f>
        <v>7</v>
      </c>
      <c r="I24" s="41"/>
      <c r="J24" s="54">
        <f>+J23+J22</f>
        <v>45</v>
      </c>
      <c r="K24" s="41"/>
      <c r="L24" s="54">
        <f>+L23+L22</f>
        <v>527</v>
      </c>
    </row>
    <row r="25" spans="2:13" s="30" customFormat="1" x14ac:dyDescent="0.25">
      <c r="B25" s="35"/>
      <c r="C25" s="35"/>
      <c r="D25" s="41"/>
      <c r="E25" s="41"/>
      <c r="F25" s="41"/>
      <c r="G25" s="41"/>
      <c r="H25" s="41"/>
      <c r="I25" s="41"/>
      <c r="J25" s="18"/>
      <c r="K25" s="41"/>
      <c r="L25"/>
    </row>
    <row r="26" spans="2:13" s="30" customFormat="1" ht="15" x14ac:dyDescent="0.3">
      <c r="B26" s="11" t="s">
        <v>52</v>
      </c>
      <c r="C26" s="35"/>
      <c r="D26" s="41"/>
      <c r="E26" s="41"/>
      <c r="F26" s="41"/>
      <c r="G26" s="41"/>
      <c r="H26" s="41"/>
      <c r="I26" s="41"/>
      <c r="J26" s="18"/>
      <c r="K26" s="41"/>
      <c r="L26" s="41"/>
    </row>
    <row r="27" spans="2:13" s="30" customFormat="1" x14ac:dyDescent="0.25">
      <c r="B27" t="s">
        <v>19</v>
      </c>
      <c r="D27" s="58">
        <f>ROUND(D12+D17+D22/6,0)</f>
        <v>278</v>
      </c>
      <c r="E27" s="58"/>
      <c r="F27" s="58">
        <f>ROUND(F12+F17+F22/6,0)</f>
        <v>86</v>
      </c>
      <c r="G27" s="58"/>
      <c r="H27" s="58">
        <f>ROUND(H12+H17+H22/6,0)</f>
        <v>12</v>
      </c>
      <c r="I27" s="58"/>
      <c r="J27" s="58">
        <f>ROUND(J12+J17+J22/6,0)</f>
        <v>6</v>
      </c>
      <c r="K27" s="58"/>
      <c r="L27" s="58">
        <f>SUM(D27:K27)</f>
        <v>382</v>
      </c>
      <c r="M27" s="59"/>
    </row>
    <row r="28" spans="2:13" s="30" customFormat="1" x14ac:dyDescent="0.25">
      <c r="B28" s="12" t="s">
        <v>20</v>
      </c>
      <c r="D28" s="58">
        <f>ROUND(D13+D18+D23/6,0)</f>
        <v>39</v>
      </c>
      <c r="E28" s="58"/>
      <c r="F28" s="58">
        <f>ROUND(F13+F18+F23/6,0)</f>
        <v>19</v>
      </c>
      <c r="G28" s="58"/>
      <c r="H28" s="58">
        <f>ROUND(H13+H18+H23/6,0)</f>
        <v>0</v>
      </c>
      <c r="I28" s="58"/>
      <c r="J28" s="58">
        <f>ROUND(J13+J18+J23/6,0)</f>
        <v>2</v>
      </c>
      <c r="K28" s="58"/>
      <c r="L28" s="58">
        <f>SUM(D28:K28)</f>
        <v>60</v>
      </c>
      <c r="M28" s="59"/>
    </row>
    <row r="29" spans="2:13" s="30" customFormat="1" ht="13" thickBot="1" x14ac:dyDescent="0.3">
      <c r="B29" s="53" t="s">
        <v>17</v>
      </c>
      <c r="D29" s="60">
        <f>+D28+D27</f>
        <v>317</v>
      </c>
      <c r="E29" s="41"/>
      <c r="F29" s="60">
        <f>+F28+F27</f>
        <v>105</v>
      </c>
      <c r="G29" s="41"/>
      <c r="H29" s="60">
        <f>+H28+H27</f>
        <v>12</v>
      </c>
      <c r="I29" s="41"/>
      <c r="J29" s="60">
        <f>+J28+J27</f>
        <v>8</v>
      </c>
      <c r="K29" s="41"/>
      <c r="L29" s="60">
        <f>+L28+L27</f>
        <v>442</v>
      </c>
    </row>
    <row r="30" spans="2:13" ht="13" thickTop="1" x14ac:dyDescent="0.25"/>
    <row r="32" spans="2:13" x14ac:dyDescent="0.25">
      <c r="B32" s="84" t="s">
        <v>53</v>
      </c>
    </row>
    <row r="33" spans="2:2" ht="6" customHeight="1" x14ac:dyDescent="0.25">
      <c r="B33" s="84"/>
    </row>
    <row r="34" spans="2:2" x14ac:dyDescent="0.25">
      <c r="B34" s="84" t="s">
        <v>39</v>
      </c>
    </row>
    <row r="35" spans="2:2" x14ac:dyDescent="0.25">
      <c r="B35" s="84" t="s">
        <v>40</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2020-03-04T21:26:04Z</cp:lastPrinted>
  <dcterms:created xsi:type="dcterms:W3CDTF">2014-09-30T22:55:06Z</dcterms:created>
  <dcterms:modified xsi:type="dcterms:W3CDTF">2021-03-07T23:46:59Z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ies>
</file>