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Cacctcorp\Earnings Release\2024\3Q 2024\"/>
    </mc:Choice>
  </mc:AlternateContent>
  <xr:revisionPtr revIDLastSave="0" documentId="13_ncr:1_{F262BC47-90FC-4A08-8CA1-65C7406FA1F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Statistics'!$A$1:$E$32</definedName>
    <definedName name="_xlnm.Print_Area" localSheetId="0">'Statements of Income'!$B$1:$D$125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7" i="2" l="1"/>
  <c r="AB34" i="5"/>
  <c r="S61" i="5"/>
  <c r="U28" i="5"/>
  <c r="U23" i="5"/>
  <c r="U13" i="5"/>
  <c r="U11" i="5"/>
  <c r="T13" i="5"/>
  <c r="T11" i="5"/>
  <c r="R13" i="5"/>
  <c r="R11" i="5"/>
  <c r="O28" i="5"/>
  <c r="O23" i="5"/>
  <c r="N28" i="5"/>
  <c r="N23" i="5"/>
  <c r="L28" i="5"/>
  <c r="L23" i="5"/>
  <c r="O13" i="5"/>
  <c r="O11" i="5"/>
  <c r="N13" i="5"/>
  <c r="N11" i="5"/>
  <c r="L13" i="5"/>
  <c r="L11" i="5"/>
  <c r="X26" i="2" l="1"/>
  <c r="AB116" i="5"/>
  <c r="AA99" i="5"/>
  <c r="Z99" i="5"/>
  <c r="Y99" i="5"/>
  <c r="X99" i="5"/>
  <c r="AA98" i="5"/>
  <c r="Z98" i="5"/>
  <c r="Y98" i="5"/>
  <c r="X98" i="5"/>
  <c r="AA94" i="5"/>
  <c r="Z94" i="5"/>
  <c r="Y94" i="5"/>
  <c r="X94" i="5"/>
  <c r="AA91" i="5"/>
  <c r="Z91" i="5"/>
  <c r="Y91" i="5"/>
  <c r="X91" i="5"/>
  <c r="AA90" i="5"/>
  <c r="Z90" i="5"/>
  <c r="Y90" i="5"/>
  <c r="X90" i="5"/>
  <c r="AA89" i="5"/>
  <c r="Z89" i="5"/>
  <c r="Y89" i="5"/>
  <c r="X89" i="5"/>
  <c r="AA88" i="5"/>
  <c r="Z88" i="5"/>
  <c r="Y88" i="5"/>
  <c r="X88" i="5"/>
  <c r="AA87" i="5"/>
  <c r="Z87" i="5"/>
  <c r="Y87" i="5"/>
  <c r="X87" i="5"/>
  <c r="AA86" i="5"/>
  <c r="Z86" i="5"/>
  <c r="Y86" i="5"/>
  <c r="X86" i="5"/>
  <c r="AA82" i="5"/>
  <c r="Z82" i="5"/>
  <c r="Y82" i="5"/>
  <c r="X82" i="5"/>
  <c r="AA80" i="5"/>
  <c r="Z80" i="5"/>
  <c r="AA79" i="5"/>
  <c r="Y79" i="5"/>
  <c r="X79" i="5"/>
  <c r="AA78" i="5"/>
  <c r="Z78" i="5"/>
  <c r="Y78" i="5"/>
  <c r="X78" i="5"/>
  <c r="AA77" i="5"/>
  <c r="Z77" i="5"/>
  <c r="Y77" i="5"/>
  <c r="X77" i="5"/>
  <c r="AA76" i="5"/>
  <c r="Z76" i="5"/>
  <c r="Y76" i="5"/>
  <c r="X76" i="5"/>
  <c r="AA75" i="5"/>
  <c r="Z75" i="5"/>
  <c r="Y75" i="5"/>
  <c r="X75" i="5"/>
  <c r="AA74" i="5"/>
  <c r="Z74" i="5"/>
  <c r="Y74" i="5"/>
  <c r="X74" i="5"/>
  <c r="AA73" i="5"/>
  <c r="Z73" i="5"/>
  <c r="Y73" i="5"/>
  <c r="X73" i="5"/>
  <c r="AA72" i="5"/>
  <c r="Z72" i="5"/>
  <c r="Y72" i="5"/>
  <c r="X72" i="5"/>
  <c r="AA71" i="5"/>
  <c r="Z71" i="5"/>
  <c r="Y71" i="5"/>
  <c r="X71" i="5"/>
  <c r="AA70" i="5"/>
  <c r="Z70" i="5"/>
  <c r="Y70" i="5"/>
  <c r="X70" i="5"/>
  <c r="AA69" i="5"/>
  <c r="Z69" i="5"/>
  <c r="Y69" i="5"/>
  <c r="X69" i="5"/>
  <c r="AA65" i="5"/>
  <c r="Z65" i="5"/>
  <c r="Y65" i="5"/>
  <c r="X65" i="5"/>
  <c r="AA64" i="5"/>
  <c r="Z64" i="5"/>
  <c r="Y64" i="5"/>
  <c r="X64" i="5"/>
  <c r="AA63" i="5"/>
  <c r="Z63" i="5"/>
  <c r="Y63" i="5"/>
  <c r="X63" i="5"/>
  <c r="AA62" i="5"/>
  <c r="Z62" i="5"/>
  <c r="Y62" i="5"/>
  <c r="X62" i="5"/>
  <c r="AA61" i="5"/>
  <c r="Z61" i="5"/>
  <c r="Y61" i="5"/>
  <c r="X61" i="5"/>
  <c r="AB59" i="5"/>
  <c r="AA59" i="5"/>
  <c r="Z59" i="5"/>
  <c r="Y59" i="5"/>
  <c r="X59" i="5"/>
  <c r="Z55" i="5"/>
  <c r="Z104" i="5" s="1"/>
  <c r="AA53" i="5"/>
  <c r="AA55" i="5" s="1"/>
  <c r="AA104" i="5" s="1"/>
  <c r="Z53" i="5"/>
  <c r="Y53" i="5"/>
  <c r="Y55" i="5" s="1"/>
  <c r="Y104" i="5" s="1"/>
  <c r="X53" i="5"/>
  <c r="X55" i="5" s="1"/>
  <c r="X104" i="5" s="1"/>
  <c r="AA47" i="5"/>
  <c r="Z47" i="5"/>
  <c r="Y47" i="5"/>
  <c r="X47" i="5"/>
  <c r="AB46" i="5"/>
  <c r="AB45" i="5"/>
  <c r="AB47" i="5" s="1"/>
  <c r="AB41" i="5"/>
  <c r="AB39" i="5"/>
  <c r="AB38" i="5"/>
  <c r="AB37" i="5"/>
  <c r="AB36" i="5"/>
  <c r="AB35" i="5"/>
  <c r="AB30" i="5"/>
  <c r="AA29" i="5"/>
  <c r="Z29" i="5"/>
  <c r="Y29" i="5"/>
  <c r="X29" i="5"/>
  <c r="Y80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A14" i="5"/>
  <c r="Z14" i="5"/>
  <c r="Y14" i="5"/>
  <c r="X14" i="5"/>
  <c r="AB13" i="5"/>
  <c r="AB12" i="5"/>
  <c r="AB11" i="5"/>
  <c r="AB10" i="5"/>
  <c r="AB9" i="5"/>
  <c r="AB24" i="2"/>
  <c r="AA24" i="2"/>
  <c r="Z24" i="2"/>
  <c r="Y24" i="2"/>
  <c r="X24" i="2"/>
  <c r="AB17" i="2"/>
  <c r="AA17" i="2"/>
  <c r="Z17" i="2"/>
  <c r="Y17" i="2"/>
  <c r="AB12" i="2"/>
  <c r="AA12" i="2"/>
  <c r="Z12" i="2"/>
  <c r="Y12" i="2"/>
  <c r="X12" i="2"/>
  <c r="Y26" i="2" l="1"/>
  <c r="Y81" i="5"/>
  <c r="Z66" i="5"/>
  <c r="Y100" i="5"/>
  <c r="AB77" i="5"/>
  <c r="AB94" i="5"/>
  <c r="AB75" i="5"/>
  <c r="AB91" i="5"/>
  <c r="AB62" i="5"/>
  <c r="AB90" i="5"/>
  <c r="AB76" i="5"/>
  <c r="AB61" i="5"/>
  <c r="AB82" i="5"/>
  <c r="AB71" i="5"/>
  <c r="AA100" i="5"/>
  <c r="AB72" i="5"/>
  <c r="AB87" i="5"/>
  <c r="AB98" i="5"/>
  <c r="AB69" i="5"/>
  <c r="Z100" i="5"/>
  <c r="AB86" i="5"/>
  <c r="AB73" i="5"/>
  <c r="AB88" i="5"/>
  <c r="X100" i="5"/>
  <c r="X66" i="5"/>
  <c r="AB70" i="5"/>
  <c r="AB74" i="5"/>
  <c r="AB89" i="5"/>
  <c r="AB63" i="5"/>
  <c r="AB78" i="5"/>
  <c r="AB64" i="5"/>
  <c r="AB79" i="5"/>
  <c r="AB99" i="5"/>
  <c r="AB65" i="5"/>
  <c r="AB80" i="5"/>
  <c r="X31" i="5"/>
  <c r="X40" i="5" s="1"/>
  <c r="X42" i="5" s="1"/>
  <c r="X49" i="5" s="1"/>
  <c r="Y31" i="5"/>
  <c r="Y40" i="5" s="1"/>
  <c r="Y42" i="5" s="1"/>
  <c r="Y49" i="5" s="1"/>
  <c r="Z31" i="5"/>
  <c r="Z40" i="5" s="1"/>
  <c r="Z42" i="5" s="1"/>
  <c r="Z49" i="5" s="1"/>
  <c r="AA81" i="5"/>
  <c r="AA66" i="5"/>
  <c r="AA31" i="5"/>
  <c r="AA40" i="5" s="1"/>
  <c r="AA42" i="5" s="1"/>
  <c r="AA49" i="5" s="1"/>
  <c r="Y66" i="5"/>
  <c r="Z79" i="5"/>
  <c r="Z81" i="5" s="1"/>
  <c r="AB53" i="5"/>
  <c r="AB14" i="5"/>
  <c r="AB54" i="5"/>
  <c r="X80" i="5"/>
  <c r="X81" i="5" s="1"/>
  <c r="AB29" i="5"/>
  <c r="AB26" i="2"/>
  <c r="AA26" i="2"/>
  <c r="Z26" i="2"/>
  <c r="Y83" i="5" l="1"/>
  <c r="AB100" i="5"/>
  <c r="AB81" i="5"/>
  <c r="AB66" i="5"/>
  <c r="X83" i="5"/>
  <c r="X93" i="5" s="1"/>
  <c r="X95" i="5" s="1"/>
  <c r="X102" i="5" s="1"/>
  <c r="AA83" i="5"/>
  <c r="AA93" i="5" s="1"/>
  <c r="AA95" i="5" s="1"/>
  <c r="AA102" i="5" s="1"/>
  <c r="Z83" i="5"/>
  <c r="Z93" i="5" s="1"/>
  <c r="Z95" i="5" s="1"/>
  <c r="Z102" i="5" s="1"/>
  <c r="Y93" i="5"/>
  <c r="Y95" i="5" s="1"/>
  <c r="Y102" i="5" s="1"/>
  <c r="AB55" i="5"/>
  <c r="AB104" i="5" s="1"/>
  <c r="AB31" i="5"/>
  <c r="AB40" i="5" s="1"/>
  <c r="AB42" i="5" s="1"/>
  <c r="AB49" i="5" s="1"/>
  <c r="J27" i="3"/>
  <c r="D27" i="3"/>
  <c r="N27" i="5"/>
  <c r="M28" i="5"/>
  <c r="M27" i="5"/>
  <c r="AB83" i="5" l="1"/>
  <c r="AB93" i="5" s="1"/>
  <c r="AB95" i="5" l="1"/>
  <c r="AB102" i="5" s="1"/>
  <c r="U79" i="5"/>
  <c r="R79" i="5"/>
  <c r="O79" i="5"/>
  <c r="N79" i="5"/>
  <c r="M79" i="5"/>
  <c r="L79" i="5"/>
  <c r="J27" i="5"/>
  <c r="P27" i="5"/>
  <c r="T28" i="5"/>
  <c r="T27" i="5"/>
  <c r="T79" i="5" s="1"/>
  <c r="S28" i="5"/>
  <c r="S27" i="5"/>
  <c r="S79" i="5" s="1"/>
  <c r="R28" i="5"/>
  <c r="V27" i="5" l="1"/>
  <c r="T80" i="5"/>
  <c r="V37" i="5"/>
  <c r="R54" i="5" l="1"/>
  <c r="T64" i="5"/>
  <c r="R61" i="5"/>
  <c r="V24" i="2" l="1"/>
  <c r="U24" i="2"/>
  <c r="T24" i="2"/>
  <c r="S24" i="2"/>
  <c r="R24" i="2"/>
  <c r="V17" i="2"/>
  <c r="U17" i="2"/>
  <c r="T17" i="2"/>
  <c r="S17" i="2"/>
  <c r="R17" i="2"/>
  <c r="V12" i="2"/>
  <c r="U12" i="2"/>
  <c r="T12" i="2"/>
  <c r="S12" i="2"/>
  <c r="S26" i="2" s="1"/>
  <c r="R12" i="2"/>
  <c r="S80" i="5"/>
  <c r="V116" i="5"/>
  <c r="R73" i="5"/>
  <c r="U99" i="5"/>
  <c r="T99" i="5"/>
  <c r="S99" i="5"/>
  <c r="R99" i="5"/>
  <c r="U98" i="5"/>
  <c r="T98" i="5"/>
  <c r="S98" i="5"/>
  <c r="R98" i="5"/>
  <c r="U94" i="5"/>
  <c r="T94" i="5"/>
  <c r="S94" i="5"/>
  <c r="R94" i="5"/>
  <c r="U91" i="5"/>
  <c r="T91" i="5"/>
  <c r="S91" i="5"/>
  <c r="R91" i="5"/>
  <c r="U90" i="5"/>
  <c r="T90" i="5"/>
  <c r="S90" i="5"/>
  <c r="R90" i="5"/>
  <c r="U89" i="5"/>
  <c r="T89" i="5"/>
  <c r="S89" i="5"/>
  <c r="R89" i="5"/>
  <c r="U88" i="5"/>
  <c r="T88" i="5"/>
  <c r="S88" i="5"/>
  <c r="R88" i="5"/>
  <c r="U87" i="5"/>
  <c r="T87" i="5"/>
  <c r="S87" i="5"/>
  <c r="R87" i="5"/>
  <c r="U86" i="5"/>
  <c r="T86" i="5"/>
  <c r="S86" i="5"/>
  <c r="R86" i="5"/>
  <c r="U82" i="5"/>
  <c r="T82" i="5"/>
  <c r="S82" i="5"/>
  <c r="R82" i="5"/>
  <c r="U80" i="5"/>
  <c r="R80" i="5"/>
  <c r="U78" i="5"/>
  <c r="T78" i="5"/>
  <c r="S78" i="5"/>
  <c r="R78" i="5"/>
  <c r="U77" i="5"/>
  <c r="T77" i="5"/>
  <c r="S77" i="5"/>
  <c r="R77" i="5"/>
  <c r="U76" i="5"/>
  <c r="T76" i="5"/>
  <c r="S76" i="5"/>
  <c r="R76" i="5"/>
  <c r="U75" i="5"/>
  <c r="T75" i="5"/>
  <c r="S75" i="5"/>
  <c r="R75" i="5"/>
  <c r="U74" i="5"/>
  <c r="T74" i="5"/>
  <c r="S74" i="5"/>
  <c r="R74" i="5"/>
  <c r="U73" i="5"/>
  <c r="T73" i="5"/>
  <c r="S73" i="5"/>
  <c r="U72" i="5"/>
  <c r="T72" i="5"/>
  <c r="S72" i="5"/>
  <c r="R72" i="5"/>
  <c r="U71" i="5"/>
  <c r="T71" i="5"/>
  <c r="S71" i="5"/>
  <c r="R71" i="5"/>
  <c r="U70" i="5"/>
  <c r="T70" i="5"/>
  <c r="S70" i="5"/>
  <c r="R70" i="5"/>
  <c r="U69" i="5"/>
  <c r="T69" i="5"/>
  <c r="S69" i="5"/>
  <c r="R69" i="5"/>
  <c r="U65" i="5"/>
  <c r="T65" i="5"/>
  <c r="S65" i="5"/>
  <c r="R65" i="5"/>
  <c r="U64" i="5"/>
  <c r="S64" i="5"/>
  <c r="R64" i="5"/>
  <c r="U63" i="5"/>
  <c r="T63" i="5"/>
  <c r="S63" i="5"/>
  <c r="R63" i="5"/>
  <c r="U62" i="5"/>
  <c r="T62" i="5"/>
  <c r="S62" i="5"/>
  <c r="R62" i="5"/>
  <c r="U61" i="5"/>
  <c r="T61" i="5"/>
  <c r="V59" i="5"/>
  <c r="U59" i="5"/>
  <c r="T59" i="5"/>
  <c r="S59" i="5"/>
  <c r="R59" i="5"/>
  <c r="V54" i="5"/>
  <c r="U53" i="5"/>
  <c r="U55" i="5" s="1"/>
  <c r="U104" i="5" s="1"/>
  <c r="T53" i="5"/>
  <c r="T55" i="5" s="1"/>
  <c r="T104" i="5" s="1"/>
  <c r="S53" i="5"/>
  <c r="S55" i="5" s="1"/>
  <c r="S104" i="5" s="1"/>
  <c r="R53" i="5"/>
  <c r="R55" i="5" s="1"/>
  <c r="R104" i="5" s="1"/>
  <c r="U47" i="5"/>
  <c r="T47" i="5"/>
  <c r="S47" i="5"/>
  <c r="R47" i="5"/>
  <c r="V46" i="5"/>
  <c r="V45" i="5"/>
  <c r="V41" i="5"/>
  <c r="V39" i="5"/>
  <c r="V38" i="5"/>
  <c r="V36" i="5"/>
  <c r="V35" i="5"/>
  <c r="V34" i="5"/>
  <c r="V30" i="5"/>
  <c r="U29" i="5"/>
  <c r="T29" i="5"/>
  <c r="S29" i="5"/>
  <c r="R29" i="5"/>
  <c r="V28" i="5"/>
  <c r="V26" i="5"/>
  <c r="V25" i="5"/>
  <c r="V24" i="5"/>
  <c r="V23" i="5"/>
  <c r="V22" i="5"/>
  <c r="V21" i="5"/>
  <c r="V20" i="5"/>
  <c r="V19" i="5"/>
  <c r="V18" i="5"/>
  <c r="V17" i="5"/>
  <c r="U14" i="5"/>
  <c r="T14" i="5"/>
  <c r="S14" i="5"/>
  <c r="R14" i="5"/>
  <c r="V13" i="5"/>
  <c r="V12" i="5"/>
  <c r="V11" i="5"/>
  <c r="V10" i="5"/>
  <c r="V9" i="5"/>
  <c r="R100" i="5" l="1"/>
  <c r="V79" i="5"/>
  <c r="U31" i="5"/>
  <c r="U40" i="5" s="1"/>
  <c r="U42" i="5" s="1"/>
  <c r="U49" i="5" s="1"/>
  <c r="U66" i="5"/>
  <c r="R81" i="5"/>
  <c r="T66" i="5"/>
  <c r="S66" i="5"/>
  <c r="S81" i="5"/>
  <c r="T81" i="5"/>
  <c r="V90" i="5"/>
  <c r="U100" i="5"/>
  <c r="V75" i="5"/>
  <c r="V94" i="5"/>
  <c r="T31" i="5"/>
  <c r="T40" i="5" s="1"/>
  <c r="T42" i="5" s="1"/>
  <c r="T49" i="5" s="1"/>
  <c r="S31" i="5"/>
  <c r="S40" i="5" s="1"/>
  <c r="S42" i="5" s="1"/>
  <c r="S49" i="5" s="1"/>
  <c r="R26" i="2"/>
  <c r="R66" i="5"/>
  <c r="V62" i="5"/>
  <c r="V86" i="5"/>
  <c r="V70" i="5"/>
  <c r="V64" i="5"/>
  <c r="V88" i="5"/>
  <c r="V69" i="5"/>
  <c r="V78" i="5"/>
  <c r="V71" i="5"/>
  <c r="V77" i="5"/>
  <c r="V99" i="5"/>
  <c r="V63" i="5"/>
  <c r="V87" i="5"/>
  <c r="V80" i="5"/>
  <c r="V26" i="2"/>
  <c r="U26" i="2"/>
  <c r="T26" i="2"/>
  <c r="V65" i="5"/>
  <c r="V89" i="5"/>
  <c r="V73" i="5"/>
  <c r="V72" i="5"/>
  <c r="V74" i="5"/>
  <c r="V91" i="5"/>
  <c r="U81" i="5"/>
  <c r="V61" i="5"/>
  <c r="V76" i="5"/>
  <c r="V82" i="5"/>
  <c r="V98" i="5"/>
  <c r="S100" i="5"/>
  <c r="T100" i="5"/>
  <c r="R31" i="5"/>
  <c r="R40" i="5" s="1"/>
  <c r="R42" i="5" s="1"/>
  <c r="R49" i="5" s="1"/>
  <c r="V53" i="5"/>
  <c r="V55" i="5" s="1"/>
  <c r="V104" i="5" s="1"/>
  <c r="V47" i="5"/>
  <c r="V29" i="5"/>
  <c r="V14" i="5"/>
  <c r="O88" i="5"/>
  <c r="N88" i="5"/>
  <c r="M88" i="5"/>
  <c r="L88" i="5"/>
  <c r="V81" i="5" l="1"/>
  <c r="R83" i="5"/>
  <c r="U83" i="5"/>
  <c r="U93" i="5" s="1"/>
  <c r="U95" i="5" s="1"/>
  <c r="U102" i="5" s="1"/>
  <c r="T83" i="5"/>
  <c r="T93" i="5" s="1"/>
  <c r="T95" i="5" s="1"/>
  <c r="T102" i="5" s="1"/>
  <c r="V66" i="5"/>
  <c r="V100" i="5"/>
  <c r="S83" i="5"/>
  <c r="S93" i="5" s="1"/>
  <c r="S95" i="5" s="1"/>
  <c r="S102" i="5" s="1"/>
  <c r="V31" i="5"/>
  <c r="V40" i="5" s="1"/>
  <c r="V42" i="5" s="1"/>
  <c r="V49" i="5" s="1"/>
  <c r="D28" i="3"/>
  <c r="P116" i="5"/>
  <c r="P36" i="5"/>
  <c r="N75" i="5"/>
  <c r="N64" i="5"/>
  <c r="M80" i="5"/>
  <c r="V83" i="5" l="1"/>
  <c r="V93" i="5" s="1"/>
  <c r="V95" i="5" s="1"/>
  <c r="V102" i="5" s="1"/>
  <c r="P79" i="5"/>
  <c r="R93" i="5"/>
  <c r="R95" i="5" s="1"/>
  <c r="R102" i="5" s="1"/>
  <c r="P88" i="5"/>
  <c r="L61" i="5"/>
  <c r="L73" i="5"/>
  <c r="P24" i="2" l="1"/>
  <c r="O24" i="2"/>
  <c r="N24" i="2"/>
  <c r="M24" i="2"/>
  <c r="L24" i="2"/>
  <c r="P17" i="2"/>
  <c r="O17" i="2"/>
  <c r="N17" i="2"/>
  <c r="M17" i="2"/>
  <c r="L17" i="2"/>
  <c r="P12" i="2"/>
  <c r="O12" i="2"/>
  <c r="N12" i="2"/>
  <c r="M12" i="2"/>
  <c r="L12" i="2"/>
  <c r="O82" i="5"/>
  <c r="O73" i="5"/>
  <c r="N80" i="5"/>
  <c r="P117" i="5"/>
  <c r="O99" i="5"/>
  <c r="N99" i="5"/>
  <c r="M99" i="5"/>
  <c r="L99" i="5"/>
  <c r="O98" i="5"/>
  <c r="N98" i="5"/>
  <c r="M98" i="5"/>
  <c r="L98" i="5"/>
  <c r="O94" i="5"/>
  <c r="N94" i="5"/>
  <c r="M94" i="5"/>
  <c r="L94" i="5"/>
  <c r="O91" i="5"/>
  <c r="N91" i="5"/>
  <c r="M91" i="5"/>
  <c r="L91" i="5"/>
  <c r="O90" i="5"/>
  <c r="N90" i="5"/>
  <c r="M90" i="5"/>
  <c r="L90" i="5"/>
  <c r="O89" i="5"/>
  <c r="N89" i="5"/>
  <c r="M89" i="5"/>
  <c r="L89" i="5"/>
  <c r="O87" i="5"/>
  <c r="N87" i="5"/>
  <c r="M87" i="5"/>
  <c r="L87" i="5"/>
  <c r="O86" i="5"/>
  <c r="N86" i="5"/>
  <c r="M86" i="5"/>
  <c r="L86" i="5"/>
  <c r="M82" i="5"/>
  <c r="O80" i="5"/>
  <c r="L80" i="5"/>
  <c r="O78" i="5"/>
  <c r="N78" i="5"/>
  <c r="M78" i="5"/>
  <c r="L78" i="5"/>
  <c r="O77" i="5"/>
  <c r="N77" i="5"/>
  <c r="M77" i="5"/>
  <c r="L77" i="5"/>
  <c r="O76" i="5"/>
  <c r="N76" i="5"/>
  <c r="M76" i="5"/>
  <c r="L76" i="5"/>
  <c r="O75" i="5"/>
  <c r="M75" i="5"/>
  <c r="L75" i="5"/>
  <c r="O74" i="5"/>
  <c r="N74" i="5"/>
  <c r="M74" i="5"/>
  <c r="L74" i="5"/>
  <c r="N73" i="5"/>
  <c r="M73" i="5"/>
  <c r="O72" i="5"/>
  <c r="N72" i="5"/>
  <c r="M72" i="5"/>
  <c r="L72" i="5"/>
  <c r="O71" i="5"/>
  <c r="N71" i="5"/>
  <c r="M71" i="5"/>
  <c r="L71" i="5"/>
  <c r="O70" i="5"/>
  <c r="N70" i="5"/>
  <c r="M70" i="5"/>
  <c r="L70" i="5"/>
  <c r="O69" i="5"/>
  <c r="N69" i="5"/>
  <c r="M69" i="5"/>
  <c r="L69" i="5"/>
  <c r="O65" i="5"/>
  <c r="N65" i="5"/>
  <c r="M65" i="5"/>
  <c r="L65" i="5"/>
  <c r="O64" i="5"/>
  <c r="M64" i="5"/>
  <c r="L64" i="5"/>
  <c r="O63" i="5"/>
  <c r="N63" i="5"/>
  <c r="M63" i="5"/>
  <c r="L63" i="5"/>
  <c r="O62" i="5"/>
  <c r="N62" i="5"/>
  <c r="M62" i="5"/>
  <c r="L62" i="5"/>
  <c r="O61" i="5"/>
  <c r="N61" i="5"/>
  <c r="M61" i="5"/>
  <c r="P59" i="5"/>
  <c r="O59" i="5"/>
  <c r="N59" i="5"/>
  <c r="M59" i="5"/>
  <c r="L59" i="5"/>
  <c r="P54" i="5"/>
  <c r="O53" i="5"/>
  <c r="O55" i="5" s="1"/>
  <c r="O104" i="5" s="1"/>
  <c r="N53" i="5"/>
  <c r="N55" i="5" s="1"/>
  <c r="N104" i="5" s="1"/>
  <c r="M53" i="5"/>
  <c r="M55" i="5" s="1"/>
  <c r="M104" i="5" s="1"/>
  <c r="L53" i="5"/>
  <c r="L55" i="5" s="1"/>
  <c r="L104" i="5" s="1"/>
  <c r="O47" i="5"/>
  <c r="N47" i="5"/>
  <c r="M47" i="5"/>
  <c r="L47" i="5"/>
  <c r="P46" i="5"/>
  <c r="P99" i="5" s="1"/>
  <c r="P45" i="5"/>
  <c r="P41" i="5"/>
  <c r="P94" i="5" s="1"/>
  <c r="P39" i="5"/>
  <c r="P91" i="5" s="1"/>
  <c r="P38" i="5"/>
  <c r="P90" i="5" s="1"/>
  <c r="P37" i="5"/>
  <c r="P89" i="5" s="1"/>
  <c r="P35" i="5"/>
  <c r="P87" i="5" s="1"/>
  <c r="P34" i="5"/>
  <c r="P86" i="5" s="1"/>
  <c r="N82" i="5"/>
  <c r="L82" i="5"/>
  <c r="O29" i="5"/>
  <c r="N29" i="5"/>
  <c r="M29" i="5"/>
  <c r="L29" i="5"/>
  <c r="P26" i="5"/>
  <c r="P78" i="5" s="1"/>
  <c r="P25" i="5"/>
  <c r="P77" i="5" s="1"/>
  <c r="P24" i="5"/>
  <c r="P76" i="5" s="1"/>
  <c r="P23" i="5"/>
  <c r="P75" i="5" s="1"/>
  <c r="P22" i="5"/>
  <c r="P74" i="5" s="1"/>
  <c r="P21" i="5"/>
  <c r="P73" i="5" s="1"/>
  <c r="P20" i="5"/>
  <c r="P72" i="5" s="1"/>
  <c r="P19" i="5"/>
  <c r="P71" i="5" s="1"/>
  <c r="P18" i="5"/>
  <c r="P70" i="5" s="1"/>
  <c r="P17" i="5"/>
  <c r="P69" i="5" s="1"/>
  <c r="O14" i="5"/>
  <c r="N14" i="5"/>
  <c r="M14" i="5"/>
  <c r="L14" i="5"/>
  <c r="P13" i="5"/>
  <c r="P65" i="5" s="1"/>
  <c r="P12" i="5"/>
  <c r="P64" i="5" s="1"/>
  <c r="P11" i="5"/>
  <c r="P63" i="5" s="1"/>
  <c r="P10" i="5"/>
  <c r="P62" i="5" s="1"/>
  <c r="P9" i="5"/>
  <c r="P61" i="5" s="1"/>
  <c r="I30" i="5"/>
  <c r="I82" i="5" s="1"/>
  <c r="H30" i="5"/>
  <c r="F30" i="5"/>
  <c r="I73" i="5"/>
  <c r="I61" i="5"/>
  <c r="I80" i="5"/>
  <c r="J45" i="5"/>
  <c r="I99" i="5"/>
  <c r="I98" i="5"/>
  <c r="I94" i="5"/>
  <c r="I91" i="5"/>
  <c r="I90" i="5"/>
  <c r="I89" i="5"/>
  <c r="I87" i="5"/>
  <c r="I86" i="5"/>
  <c r="I78" i="5"/>
  <c r="I77" i="5"/>
  <c r="I76" i="5"/>
  <c r="I75" i="5"/>
  <c r="I74" i="5"/>
  <c r="I72" i="5"/>
  <c r="I71" i="5"/>
  <c r="I70" i="5"/>
  <c r="I69" i="5"/>
  <c r="I65" i="5"/>
  <c r="I64" i="5"/>
  <c r="I63" i="5"/>
  <c r="I62" i="5"/>
  <c r="O66" i="5" l="1"/>
  <c r="M66" i="5"/>
  <c r="L66" i="5"/>
  <c r="L26" i="2"/>
  <c r="P47" i="5"/>
  <c r="I81" i="5"/>
  <c r="L81" i="5"/>
  <c r="L83" i="5" s="1"/>
  <c r="N66" i="5"/>
  <c r="M81" i="5"/>
  <c r="N81" i="5"/>
  <c r="N31" i="5"/>
  <c r="P66" i="5"/>
  <c r="P98" i="5"/>
  <c r="P100" i="5" s="1"/>
  <c r="O100" i="5"/>
  <c r="O81" i="5"/>
  <c r="L31" i="5"/>
  <c r="N100" i="5"/>
  <c r="O26" i="2"/>
  <c r="N26" i="2"/>
  <c r="P26" i="2"/>
  <c r="L100" i="5"/>
  <c r="M100" i="5"/>
  <c r="M31" i="5"/>
  <c r="O31" i="5"/>
  <c r="P14" i="5"/>
  <c r="P28" i="5"/>
  <c r="P80" i="5" s="1"/>
  <c r="P81" i="5" s="1"/>
  <c r="P53" i="5"/>
  <c r="P55" i="5" s="1"/>
  <c r="P104" i="5" s="1"/>
  <c r="P30" i="5"/>
  <c r="P82" i="5" s="1"/>
  <c r="I66" i="5"/>
  <c r="I100" i="5"/>
  <c r="L40" i="5" l="1"/>
  <c r="L42" i="5" s="1"/>
  <c r="L49" i="5" s="1"/>
  <c r="M40" i="5"/>
  <c r="M42" i="5" s="1"/>
  <c r="M49" i="5" s="1"/>
  <c r="O40" i="5"/>
  <c r="O42" i="5" s="1"/>
  <c r="O49" i="5" s="1"/>
  <c r="N40" i="5"/>
  <c r="N42" i="5" s="1"/>
  <c r="N49" i="5" s="1"/>
  <c r="N83" i="5"/>
  <c r="N93" i="5" s="1"/>
  <c r="N95" i="5" s="1"/>
  <c r="N102" i="5" s="1"/>
  <c r="O83" i="5"/>
  <c r="I83" i="5"/>
  <c r="I93" i="5" s="1"/>
  <c r="I95" i="5" s="1"/>
  <c r="I102" i="5" s="1"/>
  <c r="P83" i="5"/>
  <c r="P93" i="5" s="1"/>
  <c r="P95" i="5" s="1"/>
  <c r="M83" i="5"/>
  <c r="M93" i="5" s="1"/>
  <c r="M95" i="5" s="1"/>
  <c r="M102" i="5" s="1"/>
  <c r="P29" i="5"/>
  <c r="P31" i="5" s="1"/>
  <c r="O93" i="5" l="1"/>
  <c r="O95" i="5" s="1"/>
  <c r="O102" i="5" s="1"/>
  <c r="P102" i="5"/>
  <c r="P40" i="5"/>
  <c r="P42" i="5" s="1"/>
  <c r="P49" i="5" s="1"/>
  <c r="L93" i="5"/>
  <c r="L95" i="5" s="1"/>
  <c r="L102" i="5" s="1"/>
  <c r="J54" i="5" l="1"/>
  <c r="I53" i="5" l="1"/>
  <c r="I55" i="5" s="1"/>
  <c r="I104" i="5" s="1"/>
  <c r="H53" i="5"/>
  <c r="H55" i="5" s="1"/>
  <c r="H104" i="5" s="1"/>
  <c r="G53" i="5"/>
  <c r="G55" i="5" s="1"/>
  <c r="G104" i="5" s="1"/>
  <c r="F53" i="5"/>
  <c r="F55" i="5" s="1"/>
  <c r="F104" i="5" s="1"/>
  <c r="H82" i="5"/>
  <c r="G82" i="5"/>
  <c r="F82" i="5"/>
  <c r="J30" i="5"/>
  <c r="J82" i="5" s="1"/>
  <c r="H80" i="5"/>
  <c r="F39" i="5" l="1"/>
  <c r="G28" i="5"/>
  <c r="F28" i="5"/>
  <c r="J26" i="5"/>
  <c r="J78" i="5" s="1"/>
  <c r="H78" i="5" l="1"/>
  <c r="G78" i="5"/>
  <c r="F78" i="5"/>
  <c r="G80" i="5" l="1"/>
  <c r="J24" i="2" l="1"/>
  <c r="I24" i="2"/>
  <c r="H24" i="2"/>
  <c r="G24" i="2"/>
  <c r="F24" i="2"/>
  <c r="J17" i="2"/>
  <c r="I17" i="2"/>
  <c r="H17" i="2"/>
  <c r="G17" i="2"/>
  <c r="F17" i="2"/>
  <c r="J12" i="2"/>
  <c r="I12" i="2"/>
  <c r="H12" i="2"/>
  <c r="G12" i="2"/>
  <c r="F12" i="2"/>
  <c r="H65" i="5"/>
  <c r="F65" i="5"/>
  <c r="J117" i="5"/>
  <c r="H99" i="5"/>
  <c r="G99" i="5"/>
  <c r="F99" i="5"/>
  <c r="H98" i="5"/>
  <c r="G98" i="5"/>
  <c r="F98" i="5"/>
  <c r="H94" i="5"/>
  <c r="G94" i="5"/>
  <c r="F94" i="5"/>
  <c r="H91" i="5"/>
  <c r="G91" i="5"/>
  <c r="F91" i="5"/>
  <c r="H90" i="5"/>
  <c r="G90" i="5"/>
  <c r="F90" i="5"/>
  <c r="H89" i="5"/>
  <c r="G89" i="5"/>
  <c r="F89" i="5"/>
  <c r="H87" i="5"/>
  <c r="G87" i="5"/>
  <c r="F87" i="5"/>
  <c r="H86" i="5"/>
  <c r="G86" i="5"/>
  <c r="F86" i="5"/>
  <c r="H77" i="5"/>
  <c r="G77" i="5"/>
  <c r="F77" i="5"/>
  <c r="H76" i="5"/>
  <c r="G76" i="5"/>
  <c r="F76" i="5"/>
  <c r="H75" i="5"/>
  <c r="G75" i="5"/>
  <c r="F75" i="5"/>
  <c r="H74" i="5"/>
  <c r="G74" i="5"/>
  <c r="F74" i="5"/>
  <c r="H73" i="5"/>
  <c r="G73" i="5"/>
  <c r="F73" i="5"/>
  <c r="H72" i="5"/>
  <c r="G72" i="5"/>
  <c r="F72" i="5"/>
  <c r="H71" i="5"/>
  <c r="G71" i="5"/>
  <c r="F71" i="5"/>
  <c r="G70" i="5"/>
  <c r="F70" i="5"/>
  <c r="H69" i="5"/>
  <c r="G69" i="5"/>
  <c r="F69" i="5"/>
  <c r="H64" i="5"/>
  <c r="G64" i="5"/>
  <c r="F64" i="5"/>
  <c r="H63" i="5"/>
  <c r="G63" i="5"/>
  <c r="F63" i="5"/>
  <c r="H62" i="5"/>
  <c r="G62" i="5"/>
  <c r="F62" i="5"/>
  <c r="H61" i="5"/>
  <c r="G61" i="5"/>
  <c r="F61" i="5"/>
  <c r="J59" i="5"/>
  <c r="I59" i="5"/>
  <c r="H59" i="5"/>
  <c r="G59" i="5"/>
  <c r="F59" i="5"/>
  <c r="H47" i="5"/>
  <c r="G47" i="5"/>
  <c r="F47" i="5"/>
  <c r="I47" i="5"/>
  <c r="J41" i="5"/>
  <c r="J94" i="5" s="1"/>
  <c r="J39" i="5"/>
  <c r="J91" i="5" s="1"/>
  <c r="J38" i="5"/>
  <c r="J37" i="5"/>
  <c r="J35" i="5"/>
  <c r="J87" i="5" s="1"/>
  <c r="J34" i="5"/>
  <c r="I29" i="5"/>
  <c r="F80" i="5"/>
  <c r="J25" i="5"/>
  <c r="J24" i="5"/>
  <c r="J76" i="5" s="1"/>
  <c r="J23" i="5"/>
  <c r="J75" i="5" s="1"/>
  <c r="J22" i="5"/>
  <c r="J21" i="5"/>
  <c r="J73" i="5" s="1"/>
  <c r="J20" i="5"/>
  <c r="J19" i="5"/>
  <c r="J71" i="5" s="1"/>
  <c r="H29" i="5"/>
  <c r="J17" i="5"/>
  <c r="H14" i="5"/>
  <c r="G14" i="5"/>
  <c r="F14" i="5"/>
  <c r="I14" i="5"/>
  <c r="G65" i="5"/>
  <c r="J12" i="5"/>
  <c r="J11" i="5"/>
  <c r="J10" i="5"/>
  <c r="J9" i="5"/>
  <c r="J53" i="5" s="1"/>
  <c r="J55" i="5" s="1"/>
  <c r="J104" i="5" s="1"/>
  <c r="H31" i="5" l="1"/>
  <c r="I31" i="5"/>
  <c r="I40" i="5" s="1"/>
  <c r="I42" i="5" s="1"/>
  <c r="I49" i="5" s="1"/>
  <c r="G81" i="5"/>
  <c r="J86" i="5"/>
  <c r="J64" i="5"/>
  <c r="J74" i="5"/>
  <c r="H100" i="5"/>
  <c r="J90" i="5"/>
  <c r="J63" i="5"/>
  <c r="J98" i="5"/>
  <c r="G100" i="5"/>
  <c r="F66" i="5"/>
  <c r="J26" i="2"/>
  <c r="F26" i="2"/>
  <c r="G26" i="2"/>
  <c r="H26" i="2"/>
  <c r="I26" i="2"/>
  <c r="F100" i="5"/>
  <c r="J77" i="5"/>
  <c r="J89" i="5"/>
  <c r="J18" i="5"/>
  <c r="J70" i="5" s="1"/>
  <c r="H66" i="5"/>
  <c r="H70" i="5"/>
  <c r="H81" i="5" s="1"/>
  <c r="J61" i="5"/>
  <c r="J13" i="5"/>
  <c r="J65" i="5" s="1"/>
  <c r="J72" i="5"/>
  <c r="G66" i="5"/>
  <c r="J62" i="5"/>
  <c r="F81" i="5"/>
  <c r="H40" i="5"/>
  <c r="H42" i="5" s="1"/>
  <c r="H49" i="5" s="1"/>
  <c r="J46" i="5"/>
  <c r="J99" i="5" s="1"/>
  <c r="J28" i="5"/>
  <c r="J80" i="5" s="1"/>
  <c r="F29" i="5"/>
  <c r="F31" i="5" s="1"/>
  <c r="J69" i="5"/>
  <c r="G29" i="5"/>
  <c r="H83" i="5" l="1"/>
  <c r="H93" i="5" s="1"/>
  <c r="H95" i="5" s="1"/>
  <c r="H102" i="5" s="1"/>
  <c r="G83" i="5"/>
  <c r="F83" i="5"/>
  <c r="F93" i="5" s="1"/>
  <c r="J81" i="5"/>
  <c r="F40" i="5"/>
  <c r="F42" i="5" s="1"/>
  <c r="F49" i="5" s="1"/>
  <c r="G31" i="5"/>
  <c r="G40" i="5" s="1"/>
  <c r="G42" i="5" s="1"/>
  <c r="G49" i="5" s="1"/>
  <c r="J66" i="5"/>
  <c r="J83" i="5" s="1"/>
  <c r="J14" i="5"/>
  <c r="J47" i="5"/>
  <c r="J100" i="5"/>
  <c r="J29" i="5"/>
  <c r="F28" i="3"/>
  <c r="J31" i="5" l="1"/>
  <c r="J40" i="5" s="1"/>
  <c r="J42" i="5" s="1"/>
  <c r="J49" i="5" s="1"/>
  <c r="J93" i="5"/>
  <c r="G93" i="5"/>
  <c r="G95" i="5" s="1"/>
  <c r="G102" i="5" s="1"/>
  <c r="F95" i="5"/>
  <c r="F102" i="5" s="1"/>
  <c r="J95" i="5" l="1"/>
  <c r="J102" i="5" s="1"/>
  <c r="H28" i="3" l="1"/>
  <c r="F27" i="3"/>
  <c r="J28" i="3" l="1"/>
  <c r="H27" i="3" l="1"/>
  <c r="H29" i="3" l="1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<sst xmlns="http://schemas.openxmlformats.org/spreadsheetml/2006/main" count="179" uniqueCount="95">
  <si>
    <t>California Resources Corporation</t>
  </si>
  <si>
    <t>Total</t>
  </si>
  <si>
    <t>Reserves:</t>
  </si>
  <si>
    <t>San Joaquin</t>
  </si>
  <si>
    <t>Basin</t>
  </si>
  <si>
    <t>Los Angeles</t>
  </si>
  <si>
    <t>Ventura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</si>
  <si>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</si>
  <si>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</si>
  <si>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</si>
  <si>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</si>
  <si>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</si>
  <si>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</si>
  <si>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</si>
  <si>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</si>
  <si>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</si>
  <si>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</si>
  <si>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</si>
  <si>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</si>
  <si>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</si>
  <si>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</si>
  <si>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Depreciation, depletion and amortization</t>
  </si>
  <si>
    <t xml:space="preserve">  Asset impairments</t>
  </si>
  <si>
    <t xml:space="preserve">  Taxes other than on income</t>
  </si>
  <si>
    <t xml:space="preserve">  Exploration expense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</si>
  <si>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</si>
  <si>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</si>
  <si>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</si>
  <si>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</si>
  <si>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</si>
  <si>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</si>
  <si>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</si>
  <si>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</si>
  <si>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</si>
  <si>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</si>
  <si>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</si>
  <si>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</si>
  <si>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</si>
  <si>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</si>
  <si>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</si>
  <si>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</si>
  <si>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</si>
  <si>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</si>
  <si>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</si>
  <si>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</si>
  <si>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</si>
  <si>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</si>
  <si>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</si>
  <si>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</si>
  <si>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</si>
  <si>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</si>
  <si>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</si>
  <si>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</si>
  <si>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</si>
  <si>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</si>
  <si>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</si>
  <si>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</si>
  <si>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</si>
  <si>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</si>
  <si>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Gain on asset divestitures</t>
  </si>
  <si>
    <t>Reorganization items, net</t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</si>
  <si>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</si>
  <si>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</si>
  <si>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</si>
  <si>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</si>
  <si>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</si>
  <si>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</si>
  <si>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</si>
  <si>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</si>
  <si>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</si>
  <si>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</si>
  <si>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</si>
  <si>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</si>
  <si>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</si>
  <si>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</si>
  <si>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</si>
  <si>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</si>
  <si>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>Loss from investment in unconsolidated subsidiary</t>
  </si>
  <si>
    <t xml:space="preserve">   Total operating revenues</t>
  </si>
  <si>
    <t xml:space="preserve">  Transportation costs</t>
  </si>
  <si>
    <t>Other non-operating (expenses) income, net</t>
  </si>
  <si>
    <t xml:space="preserve">  Net gain on asset divestitures</t>
  </si>
  <si>
    <t>At December 31, 2023</t>
  </si>
  <si>
    <t xml:space="preserve">  Carbon management business expenses</t>
  </si>
  <si>
    <t>1Q 2024</t>
  </si>
  <si>
    <t>2Q 2024</t>
  </si>
  <si>
    <t>3Q 2024</t>
  </si>
  <si>
    <t>4Q 2024</t>
  </si>
  <si>
    <t xml:space="preserve">  Revenue from marketing of purchased commodities</t>
  </si>
  <si>
    <t xml:space="preserve">  Costs related to marketing of purchased commodities</t>
  </si>
  <si>
    <t xml:space="preserve">  Interest and other revenue</t>
  </si>
  <si>
    <r>
      <t xml:space="preserve">  Revenue from marketing of purchased commodities </t>
    </r>
    <r>
      <rPr>
        <vertAlign val="superscript"/>
        <sz val="10"/>
        <rFont val="Arial"/>
        <family val="2"/>
      </rPr>
      <t>1</t>
    </r>
  </si>
  <si>
    <r>
      <t xml:space="preserve">  Costs related to marketing of purchased commodities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</si>
  <si>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2022 and 2023 amounts related to NGL marketing activities have been reclassified to conform to CRC's 2024 presentation.</t>
    </r>
  </si>
  <si>
    <t>Volumes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</si>
</sst>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</numFmts>
  <fonts count="1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7" fillId="0" borderId="0" xfId="0" applyFont="1" applyFill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0" fontId="4" fillId="0" borderId="0" xfId="0" applyFont="1" applyBorder="1" applyAlignment="1"/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2" fontId="0" fillId="0" borderId="0" xfId="0" applyNumberFormat="1" applyFill="1"/>
    <xf numFmtId="41" fontId="0" fillId="0" borderId="0" xfId="0" applyNumberFormat="1" applyFill="1"/>
    <xf numFmtId="44" fontId="3" fillId="0" borderId="3" xfId="2" applyFont="1" applyBorder="1" applyAlignment="1"/>
    <xf numFmtId="44" fontId="3" fillId="0" borderId="0" xfId="2" applyFont="1" applyBorder="1" applyAlignment="1"/>
    <xf numFmtId="0" fontId="3" fillId="0" borderId="0" xfId="0" applyNumberFormat="1" applyFont="1" applyFill="1" applyAlignment="1"/>
    <xf numFmtId="167" fontId="0" fillId="2" borderId="0" xfId="1" applyNumberFormat="1" applyFont="1" applyFill="1"/>
    <xf numFmtId="43" fontId="0" fillId="2" borderId="0" xfId="1" applyNumberFormat="1" applyFont="1" applyFill="1"/>
    <xf numFmtId="0" fontId="3" fillId="0" borderId="0" xfId="0" applyFont="1" applyFill="1"/>
    <xf numFmtId="0" fontId="13" fillId="0" borderId="0" xfId="0" applyFont="1" applyFill="1"/>
    <xf numFmtId="43" fontId="0" fillId="0" borderId="0" xfId="1" applyNumberFormat="1" applyFont="1" applyFill="1"/>
    <xf numFmtId="0" fontId="0" fillId="0" borderId="0" xfId="0" applyFont="1" applyAlignment="1"/>
    <xf numFmtId="0" fontId="16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I132"/>
  <sheetViews>
    <sheetView showGridLines="0" tabSelected="1" zoomScale="84" zoomScaleNormal="84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53" sqref="C53"/>
    </sheetView>
  </sheetViews>
  <sheetFormatPr defaultRowHeight="13.2" outlineLevelRow="1" x14ac:dyDescent="0.25"/>
  <cols>
    <col min="1" max="1" width="4" customWidth="1"/>
    <col min="3" max="3" width="48.77734375" customWidth="1"/>
    <col min="4" max="4" width="2.77734375" customWidth="1"/>
    <col min="5" max="5" width="2.6640625" customWidth="1"/>
    <col min="6" max="6" width="12.33203125" customWidth="1"/>
    <col min="7" max="8" width="8.77734375" customWidth="1"/>
    <col min="9" max="9" width="9.33203125" customWidth="1"/>
    <col min="10" max="10" width="9.44140625" customWidth="1"/>
    <col min="11" max="11" width="2.6640625" customWidth="1"/>
    <col min="12" max="16" width="9.44140625" customWidth="1"/>
    <col min="17" max="17" width="2.6640625" customWidth="1"/>
    <col min="18" max="18" width="12.21875" customWidth="1"/>
    <col min="22" max="22" width="10.44140625" bestFit="1" customWidth="1"/>
    <col min="23" max="23" width="2.77734375" customWidth="1"/>
    <col min="24" max="24" width="8.77734375" customWidth="1"/>
    <col min="26" max="26" width="9.6640625" bestFit="1" customWidth="1"/>
    <col min="28" max="28" width="10.6640625" customWidth="1"/>
  </cols>
  <sheetData>
    <row r="2" spans="1:30" ht="17.399999999999999" x14ac:dyDescent="0.3">
      <c r="B2" s="22" t="s">
        <v>0</v>
      </c>
    </row>
    <row r="3" spans="1:30" x14ac:dyDescent="0.25">
      <c r="A3" t="s">
        <v>20</v>
      </c>
    </row>
    <row r="5" spans="1:30" ht="16.2" thickBot="1" x14ac:dyDescent="0.35">
      <c r="B5" s="24" t="s">
        <v>33</v>
      </c>
      <c r="C5" s="26"/>
      <c r="D5" s="26"/>
      <c r="F5" s="26"/>
      <c r="G5" s="26"/>
      <c r="H5" s="26"/>
      <c r="I5" s="26"/>
      <c r="J5" s="26"/>
      <c r="K5" s="11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</row>
    <row r="6" spans="1:30" ht="6" customHeight="1" thickTop="1" x14ac:dyDescent="0.25">
      <c r="B6" s="1"/>
    </row>
    <row r="7" spans="1:30" x14ac:dyDescent="0.25">
      <c r="F7" s="31" t="s">
        <v>46</v>
      </c>
      <c r="G7" s="31" t="s">
        <v>47</v>
      </c>
      <c r="H7" s="31" t="s">
        <v>48</v>
      </c>
      <c r="I7" s="31" t="s">
        <v>49</v>
      </c>
      <c r="J7" s="31" t="s">
        <v>1</v>
      </c>
      <c r="K7" s="82"/>
      <c r="L7" s="31" t="s">
        <v>68</v>
      </c>
      <c r="M7" s="31" t="s">
        <v>69</v>
      </c>
      <c r="N7" s="31" t="s">
        <v>70</v>
      </c>
      <c r="O7" s="31" t="s">
        <v>71</v>
      </c>
      <c r="P7" s="31" t="s">
        <v>1</v>
      </c>
      <c r="R7" s="31" t="s">
        <v>73</v>
      </c>
      <c r="S7" s="31" t="s">
        <v>74</v>
      </c>
      <c r="T7" s="31" t="s">
        <v>75</v>
      </c>
      <c r="U7" s="31" t="s">
        <v>76</v>
      </c>
      <c r="V7" s="31" t="s">
        <v>1</v>
      </c>
      <c r="X7" s="31" t="s">
        <v>84</v>
      </c>
      <c r="Y7" s="31" t="s">
        <v>85</v>
      </c>
      <c r="Z7" s="31" t="s">
        <v>86</v>
      </c>
      <c r="AA7" s="31" t="s">
        <v>87</v>
      </c>
      <c r="AB7" s="31" t="s">
        <v>1</v>
      </c>
    </row>
    <row r="8" spans="1:30" x14ac:dyDescent="0.25">
      <c r="B8" s="1" t="s">
        <v>44</v>
      </c>
      <c r="C8" s="2"/>
      <c r="F8" s="3"/>
      <c r="G8" s="4"/>
      <c r="H8" s="4"/>
      <c r="I8" s="4"/>
      <c r="J8" s="4"/>
      <c r="K8" s="4"/>
      <c r="L8" s="3"/>
      <c r="M8" s="4"/>
      <c r="N8" s="4"/>
      <c r="O8" s="4"/>
      <c r="P8" s="4"/>
      <c r="R8" s="3"/>
      <c r="S8" s="4"/>
      <c r="T8" s="4"/>
      <c r="U8" s="4"/>
      <c r="V8" s="4"/>
      <c r="X8" s="3"/>
      <c r="Y8" s="4"/>
      <c r="Z8" s="4"/>
      <c r="AA8" s="4"/>
      <c r="AB8" s="4"/>
    </row>
    <row r="9" spans="1:30" x14ac:dyDescent="0.25">
      <c r="B9" s="37" t="s">
        <v>64</v>
      </c>
      <c r="C9" s="7"/>
      <c r="E9" s="7"/>
      <c r="F9" s="57">
        <v>432</v>
      </c>
      <c r="G9" s="23">
        <v>478</v>
      </c>
      <c r="H9" s="23">
        <v>549</v>
      </c>
      <c r="I9" s="23">
        <v>589</v>
      </c>
      <c r="J9" s="57">
        <f>+F9+G9+H9+I9</f>
        <v>2048</v>
      </c>
      <c r="K9" s="57"/>
      <c r="L9" s="57">
        <v>628</v>
      </c>
      <c r="M9" s="23">
        <v>718</v>
      </c>
      <c r="N9" s="23">
        <v>680</v>
      </c>
      <c r="O9" s="23">
        <v>617</v>
      </c>
      <c r="P9" s="57">
        <f>+L9+M9+N9+O9</f>
        <v>2643</v>
      </c>
      <c r="R9" s="57">
        <v>715</v>
      </c>
      <c r="S9" s="23">
        <v>447</v>
      </c>
      <c r="T9" s="23">
        <v>510</v>
      </c>
      <c r="U9" s="23">
        <v>483</v>
      </c>
      <c r="V9" s="57">
        <f>+R9+S9+T9+U9</f>
        <v>2155</v>
      </c>
      <c r="X9" s="57">
        <v>429</v>
      </c>
      <c r="Y9" s="23">
        <v>412</v>
      </c>
      <c r="Z9" s="23">
        <v>870</v>
      </c>
      <c r="AA9" s="23">
        <v>0</v>
      </c>
      <c r="AB9" s="57">
        <f>+X9+Y9+Z9+AA9</f>
        <v>1711</v>
      </c>
      <c r="AD9" s="7"/>
    </row>
    <row r="10" spans="1:30" x14ac:dyDescent="0.25">
      <c r="B10" s="37" t="s">
        <v>58</v>
      </c>
      <c r="C10" s="7"/>
      <c r="E10" s="7"/>
      <c r="F10" s="9">
        <v>-213</v>
      </c>
      <c r="G10" s="9">
        <v>-265</v>
      </c>
      <c r="H10" s="9">
        <v>-125</v>
      </c>
      <c r="I10" s="9">
        <v>-73</v>
      </c>
      <c r="J10" s="9">
        <f t="shared" ref="J10:J13" si="0">+F10+G10+H10+I10</f>
        <v>-676</v>
      </c>
      <c r="K10" s="9"/>
      <c r="L10" s="9">
        <v>-562</v>
      </c>
      <c r="M10" s="9">
        <v>-100</v>
      </c>
      <c r="N10" s="9">
        <v>243</v>
      </c>
      <c r="O10" s="9">
        <v>-132</v>
      </c>
      <c r="P10" s="9">
        <f t="shared" ref="P10:P13" si="1">+L10+M10+N10+O10</f>
        <v>-551</v>
      </c>
      <c r="R10" s="9">
        <v>42</v>
      </c>
      <c r="S10" s="9">
        <v>31</v>
      </c>
      <c r="T10" s="9">
        <v>-204</v>
      </c>
      <c r="U10" s="9">
        <v>119</v>
      </c>
      <c r="V10" s="9">
        <f t="shared" ref="V10:V13" si="2">+R10+S10+T10+U10</f>
        <v>-12</v>
      </c>
      <c r="X10" s="9">
        <v>-71</v>
      </c>
      <c r="Y10" s="9">
        <v>5</v>
      </c>
      <c r="Z10" s="9">
        <v>356</v>
      </c>
      <c r="AA10" s="9">
        <v>0</v>
      </c>
      <c r="AB10" s="9">
        <f t="shared" ref="AB10:AB13" si="3">+X10+Y10+Z10+AA10</f>
        <v>290</v>
      </c>
      <c r="AD10" s="7"/>
    </row>
    <row r="11" spans="1:30" ht="15.6" x14ac:dyDescent="0.25">
      <c r="B11" s="37" t="s">
        <v>91</v>
      </c>
      <c r="C11" s="7"/>
      <c r="E11" s="7"/>
      <c r="F11" s="9">
        <v>98</v>
      </c>
      <c r="G11" s="9">
        <v>48</v>
      </c>
      <c r="H11" s="9">
        <v>95</v>
      </c>
      <c r="I11" s="9">
        <v>71</v>
      </c>
      <c r="J11" s="9">
        <f t="shared" si="0"/>
        <v>312</v>
      </c>
      <c r="K11" s="9"/>
      <c r="L11" s="9">
        <f>32+18</f>
        <v>50</v>
      </c>
      <c r="M11" s="9">
        <v>75</v>
      </c>
      <c r="N11" s="9">
        <f>113-4</f>
        <v>109</v>
      </c>
      <c r="O11" s="9">
        <f>94+3</f>
        <v>97</v>
      </c>
      <c r="P11" s="9">
        <f t="shared" si="1"/>
        <v>331</v>
      </c>
      <c r="R11" s="9">
        <f>184+3</f>
        <v>187</v>
      </c>
      <c r="S11" s="9">
        <v>72</v>
      </c>
      <c r="T11" s="9">
        <f>78-1</f>
        <v>77</v>
      </c>
      <c r="U11" s="9">
        <f>67+4</f>
        <v>71</v>
      </c>
      <c r="V11" s="9">
        <f t="shared" si="2"/>
        <v>407</v>
      </c>
      <c r="X11" s="9">
        <v>74</v>
      </c>
      <c r="Y11" s="9">
        <v>51</v>
      </c>
      <c r="Z11" s="9">
        <v>51</v>
      </c>
      <c r="AA11" s="9">
        <v>0</v>
      </c>
      <c r="AB11" s="9">
        <f t="shared" si="3"/>
        <v>176</v>
      </c>
      <c r="AD11" s="7"/>
    </row>
    <row r="12" spans="1:30" x14ac:dyDescent="0.25">
      <c r="B12" s="37" t="s">
        <v>45</v>
      </c>
      <c r="C12" s="7"/>
      <c r="E12" s="7"/>
      <c r="F12" s="9">
        <v>33</v>
      </c>
      <c r="G12" s="9">
        <v>33</v>
      </c>
      <c r="H12" s="9">
        <v>65</v>
      </c>
      <c r="I12" s="9">
        <v>41</v>
      </c>
      <c r="J12" s="9">
        <f t="shared" si="0"/>
        <v>172</v>
      </c>
      <c r="K12" s="9"/>
      <c r="L12" s="9">
        <v>34</v>
      </c>
      <c r="M12" s="9">
        <v>49</v>
      </c>
      <c r="N12" s="9">
        <v>88</v>
      </c>
      <c r="O12" s="9">
        <v>90</v>
      </c>
      <c r="P12" s="9">
        <f t="shared" si="1"/>
        <v>261</v>
      </c>
      <c r="R12" s="9">
        <v>68</v>
      </c>
      <c r="S12" s="9">
        <v>34</v>
      </c>
      <c r="T12" s="9">
        <v>67</v>
      </c>
      <c r="U12" s="9">
        <v>42</v>
      </c>
      <c r="V12" s="9">
        <f t="shared" si="2"/>
        <v>211</v>
      </c>
      <c r="X12" s="9">
        <v>15</v>
      </c>
      <c r="Y12" s="9">
        <v>36</v>
      </c>
      <c r="Z12" s="9">
        <v>69</v>
      </c>
      <c r="AA12" s="9">
        <v>0</v>
      </c>
      <c r="AB12" s="9">
        <f t="shared" si="3"/>
        <v>120</v>
      </c>
      <c r="AD12" s="7"/>
    </row>
    <row r="13" spans="1:30" x14ac:dyDescent="0.25">
      <c r="B13" s="37" t="s">
        <v>90</v>
      </c>
      <c r="C13" s="7"/>
      <c r="E13" s="7"/>
      <c r="F13" s="51">
        <v>13</v>
      </c>
      <c r="G13" s="9">
        <v>10</v>
      </c>
      <c r="H13" s="9">
        <v>4</v>
      </c>
      <c r="I13" s="9">
        <v>6</v>
      </c>
      <c r="J13" s="51">
        <f t="shared" si="0"/>
        <v>33</v>
      </c>
      <c r="K13" s="51"/>
      <c r="L13" s="51">
        <f>21-18</f>
        <v>3</v>
      </c>
      <c r="M13" s="9">
        <v>5</v>
      </c>
      <c r="N13" s="9">
        <f>1+4</f>
        <v>5</v>
      </c>
      <c r="O13" s="9">
        <f>13-3</f>
        <v>10</v>
      </c>
      <c r="P13" s="51">
        <f t="shared" si="1"/>
        <v>23</v>
      </c>
      <c r="R13" s="51">
        <f>15-3</f>
        <v>12</v>
      </c>
      <c r="S13" s="9">
        <v>7</v>
      </c>
      <c r="T13" s="9">
        <f>9+1</f>
        <v>10</v>
      </c>
      <c r="U13" s="9">
        <f>15-4</f>
        <v>11</v>
      </c>
      <c r="V13" s="51">
        <f t="shared" si="2"/>
        <v>40</v>
      </c>
      <c r="X13" s="51">
        <v>7</v>
      </c>
      <c r="Y13" s="9">
        <v>10</v>
      </c>
      <c r="Z13" s="9">
        <v>7</v>
      </c>
      <c r="AA13" s="9">
        <v>0</v>
      </c>
      <c r="AB13" s="51">
        <f t="shared" si="3"/>
        <v>24</v>
      </c>
      <c r="AD13" s="7"/>
    </row>
    <row r="14" spans="1:30" x14ac:dyDescent="0.25">
      <c r="B14" s="6" t="s">
        <v>78</v>
      </c>
      <c r="C14" s="7"/>
      <c r="E14" s="7"/>
      <c r="F14" s="58">
        <f>SUM(F9:F13)</f>
        <v>363</v>
      </c>
      <c r="G14" s="58">
        <f>SUM(G9:G13)</f>
        <v>304</v>
      </c>
      <c r="H14" s="58">
        <f>SUM(H9:H13)</f>
        <v>588</v>
      </c>
      <c r="I14" s="58">
        <f>SUM(I9:I13)</f>
        <v>634</v>
      </c>
      <c r="J14" s="58">
        <f>SUM(J9:J13)</f>
        <v>1889</v>
      </c>
      <c r="K14" s="65"/>
      <c r="L14" s="58">
        <f>SUM(L9:L13)</f>
        <v>153</v>
      </c>
      <c r="M14" s="58">
        <f>SUM(M9:M13)</f>
        <v>747</v>
      </c>
      <c r="N14" s="58">
        <f>SUM(N9:N13)</f>
        <v>1125</v>
      </c>
      <c r="O14" s="58">
        <f>SUM(O9:O13)</f>
        <v>682</v>
      </c>
      <c r="P14" s="58">
        <f>SUM(P9:P13)</f>
        <v>2707</v>
      </c>
      <c r="R14" s="58">
        <f>SUM(R9:R13)</f>
        <v>1024</v>
      </c>
      <c r="S14" s="58">
        <f>SUM(S9:S13)</f>
        <v>591</v>
      </c>
      <c r="T14" s="58">
        <f>SUM(T9:T13)</f>
        <v>460</v>
      </c>
      <c r="U14" s="58">
        <f>SUM(U9:U13)</f>
        <v>726</v>
      </c>
      <c r="V14" s="58">
        <f>SUM(V9:V13)</f>
        <v>2801</v>
      </c>
      <c r="X14" s="58">
        <f>SUM(X9:X13)</f>
        <v>454</v>
      </c>
      <c r="Y14" s="58">
        <f>SUM(Y9:Y13)</f>
        <v>514</v>
      </c>
      <c r="Z14" s="58">
        <f>SUM(Z9:Z13)</f>
        <v>1353</v>
      </c>
      <c r="AA14" s="58">
        <f>SUM(AA9:AA13)</f>
        <v>0</v>
      </c>
      <c r="AB14" s="58">
        <f>SUM(AB9:AB13)</f>
        <v>2321</v>
      </c>
      <c r="AD14" s="7"/>
    </row>
    <row r="15" spans="1:30" ht="12.6" customHeight="1" x14ac:dyDescent="0.25">
      <c r="B15" s="6"/>
      <c r="C15" s="7"/>
      <c r="E15" s="7"/>
      <c r="F15" s="23"/>
      <c r="G15" s="23"/>
      <c r="H15" s="23"/>
      <c r="I15" s="23"/>
      <c r="J15" s="57"/>
      <c r="K15" s="57"/>
      <c r="L15" s="23"/>
      <c r="M15" s="23"/>
      <c r="N15" s="23"/>
      <c r="O15" s="23"/>
      <c r="P15" s="57"/>
      <c r="R15" s="23"/>
      <c r="S15" s="23"/>
      <c r="T15" s="23"/>
      <c r="U15" s="23"/>
      <c r="V15" s="57"/>
      <c r="X15" s="23"/>
      <c r="Y15" s="23"/>
      <c r="Z15" s="23"/>
      <c r="AA15" s="23"/>
      <c r="AB15" s="57"/>
      <c r="AD15" s="7"/>
    </row>
    <row r="16" spans="1:30" x14ac:dyDescent="0.25">
      <c r="B16" s="1" t="s">
        <v>53</v>
      </c>
      <c r="C16" s="7"/>
      <c r="E16" s="7"/>
      <c r="F16" s="23"/>
      <c r="G16" s="23"/>
      <c r="H16" s="23"/>
      <c r="I16" s="23"/>
      <c r="J16" s="57"/>
      <c r="K16" s="57"/>
      <c r="L16" s="23"/>
      <c r="M16" s="23"/>
      <c r="N16" s="23"/>
      <c r="O16" s="23"/>
      <c r="P16" s="57"/>
      <c r="R16" s="23"/>
      <c r="S16" s="23"/>
      <c r="T16" s="23"/>
      <c r="U16" s="23"/>
      <c r="V16" s="57"/>
      <c r="X16" s="23"/>
      <c r="Y16" s="23"/>
      <c r="Z16" s="23"/>
      <c r="AA16" s="23"/>
      <c r="AB16" s="57"/>
      <c r="AD16" s="7"/>
    </row>
    <row r="17" spans="2:30" x14ac:dyDescent="0.25">
      <c r="B17" s="37" t="s">
        <v>50</v>
      </c>
      <c r="C17" s="7"/>
      <c r="E17" s="7"/>
      <c r="F17" s="9">
        <v>164</v>
      </c>
      <c r="G17" s="9">
        <v>169</v>
      </c>
      <c r="H17" s="9">
        <v>190</v>
      </c>
      <c r="I17" s="9">
        <v>182</v>
      </c>
      <c r="J17" s="51">
        <f t="shared" ref="J17:J28" si="4">+F17+G17+H17+I17</f>
        <v>705</v>
      </c>
      <c r="K17" s="51"/>
      <c r="L17" s="9">
        <v>182</v>
      </c>
      <c r="M17" s="9">
        <v>190</v>
      </c>
      <c r="N17" s="9">
        <v>214</v>
      </c>
      <c r="O17" s="9">
        <v>199</v>
      </c>
      <c r="P17" s="51">
        <f t="shared" ref="P17:P28" si="5">+L17+M17+N17+O17</f>
        <v>785</v>
      </c>
      <c r="R17" s="9">
        <v>254</v>
      </c>
      <c r="S17" s="9">
        <v>186</v>
      </c>
      <c r="T17" s="9">
        <v>196</v>
      </c>
      <c r="U17" s="9">
        <v>186</v>
      </c>
      <c r="V17" s="51">
        <f t="shared" ref="V17:V28" si="6">+R17+S17+T17+U17</f>
        <v>822</v>
      </c>
      <c r="X17" s="9">
        <v>176</v>
      </c>
      <c r="Y17" s="9">
        <v>156</v>
      </c>
      <c r="Z17" s="9">
        <v>311</v>
      </c>
      <c r="AA17" s="9">
        <v>0</v>
      </c>
      <c r="AB17" s="51">
        <f t="shared" ref="AB17:AB28" si="7">+X17+Y17+Z17+AA17</f>
        <v>643</v>
      </c>
      <c r="AD17" s="7"/>
    </row>
    <row r="18" spans="2:30" x14ac:dyDescent="0.25">
      <c r="B18" s="37" t="s">
        <v>72</v>
      </c>
      <c r="C18" s="7"/>
      <c r="E18" s="7"/>
      <c r="F18" s="9">
        <v>48</v>
      </c>
      <c r="G18" s="9">
        <v>48</v>
      </c>
      <c r="H18" s="9">
        <v>51</v>
      </c>
      <c r="I18" s="9">
        <v>53</v>
      </c>
      <c r="J18" s="51">
        <f t="shared" si="4"/>
        <v>200</v>
      </c>
      <c r="K18" s="51"/>
      <c r="L18" s="9">
        <v>48</v>
      </c>
      <c r="M18" s="9">
        <v>56</v>
      </c>
      <c r="N18" s="9">
        <v>59</v>
      </c>
      <c r="O18" s="9">
        <v>59</v>
      </c>
      <c r="P18" s="51">
        <f t="shared" si="5"/>
        <v>222</v>
      </c>
      <c r="R18" s="9">
        <v>65</v>
      </c>
      <c r="S18" s="9">
        <v>71</v>
      </c>
      <c r="T18" s="9">
        <v>65</v>
      </c>
      <c r="U18" s="9">
        <v>66</v>
      </c>
      <c r="V18" s="51">
        <f t="shared" si="6"/>
        <v>267</v>
      </c>
      <c r="X18" s="9">
        <v>57</v>
      </c>
      <c r="Y18" s="9">
        <v>63</v>
      </c>
      <c r="Z18" s="9">
        <v>106</v>
      </c>
      <c r="AA18" s="9">
        <v>0</v>
      </c>
      <c r="AB18" s="51">
        <f t="shared" si="7"/>
        <v>226</v>
      </c>
      <c r="AD18" s="7"/>
    </row>
    <row r="19" spans="2:30" x14ac:dyDescent="0.25">
      <c r="B19" s="37" t="s">
        <v>21</v>
      </c>
      <c r="C19" s="7"/>
      <c r="E19" s="7"/>
      <c r="F19" s="9">
        <v>52</v>
      </c>
      <c r="G19" s="9">
        <v>54</v>
      </c>
      <c r="H19" s="9">
        <v>54</v>
      </c>
      <c r="I19" s="9">
        <v>53</v>
      </c>
      <c r="J19" s="51">
        <f t="shared" si="4"/>
        <v>213</v>
      </c>
      <c r="K19" s="51"/>
      <c r="L19" s="9">
        <v>49</v>
      </c>
      <c r="M19" s="9">
        <v>50</v>
      </c>
      <c r="N19" s="9">
        <v>50</v>
      </c>
      <c r="O19" s="9">
        <v>49</v>
      </c>
      <c r="P19" s="51">
        <f t="shared" si="5"/>
        <v>198</v>
      </c>
      <c r="R19" s="9">
        <v>58</v>
      </c>
      <c r="S19" s="9">
        <v>56</v>
      </c>
      <c r="T19" s="9">
        <v>56</v>
      </c>
      <c r="U19" s="9">
        <v>55</v>
      </c>
      <c r="V19" s="51">
        <f t="shared" si="6"/>
        <v>225</v>
      </c>
      <c r="X19" s="9">
        <v>53</v>
      </c>
      <c r="Y19" s="9">
        <v>53</v>
      </c>
      <c r="Z19" s="9">
        <v>140</v>
      </c>
      <c r="AA19" s="9">
        <v>0</v>
      </c>
      <c r="AB19" s="51">
        <f t="shared" si="7"/>
        <v>246</v>
      </c>
      <c r="AD19" s="7"/>
    </row>
    <row r="20" spans="2:30" x14ac:dyDescent="0.25">
      <c r="B20" s="37" t="s">
        <v>22</v>
      </c>
      <c r="C20" s="7"/>
      <c r="E20" s="7"/>
      <c r="F20" s="9">
        <v>3</v>
      </c>
      <c r="G20" s="9">
        <v>0</v>
      </c>
      <c r="H20" s="9">
        <v>25</v>
      </c>
      <c r="I20" s="9">
        <v>0</v>
      </c>
      <c r="J20" s="51">
        <f t="shared" si="4"/>
        <v>28</v>
      </c>
      <c r="K20" s="51"/>
      <c r="L20" s="9">
        <v>0</v>
      </c>
      <c r="M20" s="9">
        <v>2</v>
      </c>
      <c r="N20" s="9">
        <v>0</v>
      </c>
      <c r="O20" s="9">
        <v>0</v>
      </c>
      <c r="P20" s="51">
        <f t="shared" si="5"/>
        <v>2</v>
      </c>
      <c r="R20" s="9">
        <v>3</v>
      </c>
      <c r="S20" s="9">
        <v>0</v>
      </c>
      <c r="T20" s="9">
        <v>0</v>
      </c>
      <c r="U20" s="9">
        <v>0</v>
      </c>
      <c r="V20" s="51">
        <f t="shared" si="6"/>
        <v>3</v>
      </c>
      <c r="X20" s="9">
        <v>0</v>
      </c>
      <c r="Y20" s="9">
        <v>13</v>
      </c>
      <c r="Z20" s="9">
        <v>0</v>
      </c>
      <c r="AA20" s="9">
        <v>0</v>
      </c>
      <c r="AB20" s="51">
        <f t="shared" si="7"/>
        <v>13</v>
      </c>
      <c r="AD20" s="7"/>
    </row>
    <row r="21" spans="2:30" x14ac:dyDescent="0.25">
      <c r="B21" s="37" t="s">
        <v>23</v>
      </c>
      <c r="C21" s="7"/>
      <c r="E21" s="7"/>
      <c r="F21" s="9">
        <v>40</v>
      </c>
      <c r="G21" s="9">
        <v>37</v>
      </c>
      <c r="H21" s="9">
        <v>36</v>
      </c>
      <c r="I21" s="9">
        <v>32</v>
      </c>
      <c r="J21" s="9">
        <f t="shared" si="4"/>
        <v>145</v>
      </c>
      <c r="K21" s="9"/>
      <c r="L21" s="9">
        <v>34</v>
      </c>
      <c r="M21" s="9">
        <v>42</v>
      </c>
      <c r="N21" s="9">
        <v>44</v>
      </c>
      <c r="O21" s="9">
        <v>42</v>
      </c>
      <c r="P21" s="9">
        <f t="shared" si="5"/>
        <v>162</v>
      </c>
      <c r="R21" s="9">
        <v>42</v>
      </c>
      <c r="S21" s="9">
        <v>42</v>
      </c>
      <c r="T21" s="9">
        <v>48</v>
      </c>
      <c r="U21" s="9">
        <v>33</v>
      </c>
      <c r="V21" s="9">
        <f t="shared" si="6"/>
        <v>165</v>
      </c>
      <c r="X21" s="9">
        <v>38</v>
      </c>
      <c r="Y21" s="9">
        <v>39</v>
      </c>
      <c r="Z21" s="9">
        <v>85</v>
      </c>
      <c r="AA21" s="9">
        <v>0</v>
      </c>
      <c r="AB21" s="9">
        <f t="shared" si="7"/>
        <v>162</v>
      </c>
      <c r="AD21" s="7"/>
    </row>
    <row r="22" spans="2:30" x14ac:dyDescent="0.25">
      <c r="B22" s="37" t="s">
        <v>24</v>
      </c>
      <c r="C22" s="7"/>
      <c r="E22" s="7"/>
      <c r="F22" s="9">
        <v>2</v>
      </c>
      <c r="G22" s="9">
        <v>2</v>
      </c>
      <c r="H22" s="9">
        <v>2</v>
      </c>
      <c r="I22" s="9">
        <v>1</v>
      </c>
      <c r="J22" s="9">
        <f t="shared" si="4"/>
        <v>7</v>
      </c>
      <c r="K22" s="9"/>
      <c r="L22" s="9">
        <v>1</v>
      </c>
      <c r="M22" s="9">
        <v>1</v>
      </c>
      <c r="N22" s="9">
        <v>1</v>
      </c>
      <c r="O22" s="9">
        <v>1</v>
      </c>
      <c r="P22" s="9">
        <f t="shared" si="5"/>
        <v>4</v>
      </c>
      <c r="R22" s="9">
        <v>1</v>
      </c>
      <c r="S22" s="9">
        <v>1</v>
      </c>
      <c r="T22" s="9">
        <v>0</v>
      </c>
      <c r="U22" s="9">
        <v>1</v>
      </c>
      <c r="V22" s="9">
        <f t="shared" si="6"/>
        <v>3</v>
      </c>
      <c r="X22" s="9">
        <v>1</v>
      </c>
      <c r="Y22" s="9">
        <v>0</v>
      </c>
      <c r="Z22" s="9">
        <v>1</v>
      </c>
      <c r="AA22" s="9">
        <v>0</v>
      </c>
      <c r="AB22" s="9">
        <f t="shared" si="7"/>
        <v>2</v>
      </c>
      <c r="AD22" s="7"/>
    </row>
    <row r="23" spans="2:30" ht="15.6" x14ac:dyDescent="0.25">
      <c r="B23" s="37" t="s">
        <v>92</v>
      </c>
      <c r="C23" s="7"/>
      <c r="E23" s="7"/>
      <c r="F23" s="9">
        <v>61</v>
      </c>
      <c r="G23" s="9">
        <v>30</v>
      </c>
      <c r="H23" s="9">
        <v>53</v>
      </c>
      <c r="I23" s="9">
        <v>52</v>
      </c>
      <c r="J23" s="9">
        <f t="shared" si="4"/>
        <v>196</v>
      </c>
      <c r="K23" s="9"/>
      <c r="L23" s="9">
        <f>21+16</f>
        <v>37</v>
      </c>
      <c r="M23" s="9">
        <v>67</v>
      </c>
      <c r="N23" s="9">
        <f>98-3</f>
        <v>95</v>
      </c>
      <c r="O23" s="9">
        <f>87-1</f>
        <v>86</v>
      </c>
      <c r="P23" s="9">
        <f t="shared" si="5"/>
        <v>285</v>
      </c>
      <c r="R23" s="9">
        <v>124</v>
      </c>
      <c r="S23" s="9">
        <v>27</v>
      </c>
      <c r="T23" s="9">
        <v>31</v>
      </c>
      <c r="U23" s="9">
        <f>39+3</f>
        <v>42</v>
      </c>
      <c r="V23" s="9">
        <f t="shared" si="6"/>
        <v>224</v>
      </c>
      <c r="X23" s="9">
        <v>54</v>
      </c>
      <c r="Y23" s="9">
        <v>43</v>
      </c>
      <c r="Z23" s="9">
        <v>43</v>
      </c>
      <c r="AA23" s="9">
        <v>0</v>
      </c>
      <c r="AB23" s="9">
        <f t="shared" si="7"/>
        <v>140</v>
      </c>
      <c r="AD23" s="7"/>
    </row>
    <row r="24" spans="2:30" x14ac:dyDescent="0.25">
      <c r="B24" s="37" t="s">
        <v>54</v>
      </c>
      <c r="C24" s="7"/>
      <c r="E24" s="7"/>
      <c r="F24" s="9">
        <v>24</v>
      </c>
      <c r="G24" s="9">
        <v>17</v>
      </c>
      <c r="H24" s="9">
        <v>29</v>
      </c>
      <c r="I24" s="9">
        <v>26</v>
      </c>
      <c r="J24" s="9">
        <f t="shared" si="4"/>
        <v>96</v>
      </c>
      <c r="K24" s="9"/>
      <c r="L24" s="9">
        <v>24</v>
      </c>
      <c r="M24" s="9">
        <v>33</v>
      </c>
      <c r="N24" s="9">
        <v>42</v>
      </c>
      <c r="O24" s="9">
        <v>68</v>
      </c>
      <c r="P24" s="9">
        <f t="shared" si="5"/>
        <v>167</v>
      </c>
      <c r="R24" s="9">
        <v>49</v>
      </c>
      <c r="S24" s="9">
        <v>13</v>
      </c>
      <c r="T24" s="9">
        <v>23</v>
      </c>
      <c r="U24" s="9">
        <v>18</v>
      </c>
      <c r="V24" s="9">
        <f t="shared" si="6"/>
        <v>103</v>
      </c>
      <c r="X24" s="9">
        <v>8</v>
      </c>
      <c r="Y24" s="9">
        <v>14</v>
      </c>
      <c r="Z24" s="9">
        <v>9</v>
      </c>
      <c r="AA24" s="9">
        <v>0</v>
      </c>
      <c r="AB24" s="9">
        <f t="shared" si="7"/>
        <v>31</v>
      </c>
      <c r="AD24" s="7"/>
    </row>
    <row r="25" spans="2:30" x14ac:dyDescent="0.25">
      <c r="B25" s="37" t="s">
        <v>79</v>
      </c>
      <c r="C25" s="7"/>
      <c r="E25" s="7"/>
      <c r="F25" s="9">
        <v>12</v>
      </c>
      <c r="G25" s="9">
        <v>14</v>
      </c>
      <c r="H25" s="9">
        <v>11</v>
      </c>
      <c r="I25" s="9">
        <v>14</v>
      </c>
      <c r="J25" s="9">
        <f t="shared" si="4"/>
        <v>51</v>
      </c>
      <c r="K25" s="9"/>
      <c r="L25" s="9">
        <v>12</v>
      </c>
      <c r="M25" s="9">
        <v>12</v>
      </c>
      <c r="N25" s="9">
        <v>13</v>
      </c>
      <c r="O25" s="9">
        <v>13</v>
      </c>
      <c r="P25" s="9">
        <f t="shared" si="5"/>
        <v>50</v>
      </c>
      <c r="R25" s="9">
        <v>17</v>
      </c>
      <c r="S25" s="9">
        <v>16</v>
      </c>
      <c r="T25" s="9">
        <v>16</v>
      </c>
      <c r="U25" s="9">
        <v>18</v>
      </c>
      <c r="V25" s="9">
        <f t="shared" si="6"/>
        <v>67</v>
      </c>
      <c r="X25" s="9">
        <v>20</v>
      </c>
      <c r="Y25" s="9">
        <v>17</v>
      </c>
      <c r="Z25" s="9">
        <v>23</v>
      </c>
      <c r="AA25" s="9">
        <v>0</v>
      </c>
      <c r="AB25" s="9">
        <f t="shared" si="7"/>
        <v>60</v>
      </c>
      <c r="AD25" s="7"/>
    </row>
    <row r="26" spans="2:30" x14ac:dyDescent="0.25">
      <c r="B26" s="37" t="s">
        <v>55</v>
      </c>
      <c r="C26" s="7"/>
      <c r="E26" s="7"/>
      <c r="F26" s="9">
        <v>13</v>
      </c>
      <c r="G26" s="9">
        <v>13</v>
      </c>
      <c r="H26" s="9">
        <v>13</v>
      </c>
      <c r="I26" s="9">
        <v>11</v>
      </c>
      <c r="J26" s="9">
        <f t="shared" si="4"/>
        <v>50</v>
      </c>
      <c r="K26" s="9"/>
      <c r="L26" s="9">
        <v>11</v>
      </c>
      <c r="M26" s="9">
        <v>11</v>
      </c>
      <c r="N26" s="9">
        <v>10</v>
      </c>
      <c r="O26" s="9">
        <v>11</v>
      </c>
      <c r="P26" s="9">
        <f t="shared" si="5"/>
        <v>43</v>
      </c>
      <c r="R26" s="9">
        <v>12</v>
      </c>
      <c r="S26" s="9">
        <v>11</v>
      </c>
      <c r="T26" s="9">
        <v>12</v>
      </c>
      <c r="U26" s="9">
        <v>11</v>
      </c>
      <c r="V26" s="9">
        <f t="shared" si="6"/>
        <v>46</v>
      </c>
      <c r="X26" s="9">
        <v>12</v>
      </c>
      <c r="Y26" s="9">
        <v>13</v>
      </c>
      <c r="Z26" s="9">
        <v>31</v>
      </c>
      <c r="AA26" s="9">
        <v>0</v>
      </c>
      <c r="AB26" s="9">
        <f t="shared" si="7"/>
        <v>56</v>
      </c>
      <c r="AD26" s="7"/>
    </row>
    <row r="27" spans="2:30" x14ac:dyDescent="0.25">
      <c r="B27" s="37" t="s">
        <v>83</v>
      </c>
      <c r="C27" s="7"/>
      <c r="E27" s="7"/>
      <c r="F27" s="9"/>
      <c r="G27" s="9"/>
      <c r="H27" s="9"/>
      <c r="I27" s="9"/>
      <c r="J27" s="9">
        <f t="shared" si="4"/>
        <v>0</v>
      </c>
      <c r="K27" s="9"/>
      <c r="L27" s="9"/>
      <c r="M27" s="9">
        <f>2</f>
        <v>2</v>
      </c>
      <c r="N27" s="9">
        <f>1</f>
        <v>1</v>
      </c>
      <c r="O27" s="9">
        <v>11</v>
      </c>
      <c r="P27" s="9">
        <f t="shared" si="5"/>
        <v>14</v>
      </c>
      <c r="R27" s="9">
        <v>5</v>
      </c>
      <c r="S27" s="9">
        <f>8</f>
        <v>8</v>
      </c>
      <c r="T27" s="9">
        <f>7</f>
        <v>7</v>
      </c>
      <c r="U27" s="9">
        <v>17</v>
      </c>
      <c r="V27" s="9">
        <f t="shared" si="6"/>
        <v>37</v>
      </c>
      <c r="X27" s="9">
        <v>8</v>
      </c>
      <c r="Y27" s="9">
        <v>15</v>
      </c>
      <c r="Z27" s="9">
        <v>13</v>
      </c>
      <c r="AA27" s="9">
        <v>0</v>
      </c>
      <c r="AB27" s="9">
        <f t="shared" si="7"/>
        <v>36</v>
      </c>
      <c r="AD27" s="7"/>
    </row>
    <row r="28" spans="2:30" x14ac:dyDescent="0.25">
      <c r="B28" s="37" t="s">
        <v>56</v>
      </c>
      <c r="C28" s="7"/>
      <c r="E28" s="7"/>
      <c r="F28" s="63">
        <f>30-13</f>
        <v>17</v>
      </c>
      <c r="G28" s="63">
        <f>23-13</f>
        <v>10</v>
      </c>
      <c r="H28" s="63">
        <v>4</v>
      </c>
      <c r="I28" s="63">
        <v>-2</v>
      </c>
      <c r="J28" s="63">
        <f t="shared" si="4"/>
        <v>29</v>
      </c>
      <c r="K28" s="16"/>
      <c r="L28" s="63">
        <f>14-16</f>
        <v>-2</v>
      </c>
      <c r="M28" s="63">
        <f>9-2</f>
        <v>7</v>
      </c>
      <c r="N28" s="63">
        <f>5-1+3</f>
        <v>7</v>
      </c>
      <c r="O28" s="63">
        <f>20-11+1</f>
        <v>10</v>
      </c>
      <c r="P28" s="63">
        <f t="shared" si="5"/>
        <v>22</v>
      </c>
      <c r="R28" s="63">
        <f>13-5</f>
        <v>8</v>
      </c>
      <c r="S28" s="63">
        <f>21-8</f>
        <v>13</v>
      </c>
      <c r="T28" s="63">
        <f>28-7</f>
        <v>21</v>
      </c>
      <c r="U28" s="63">
        <f>16+8-3</f>
        <v>21</v>
      </c>
      <c r="V28" s="63">
        <f t="shared" si="6"/>
        <v>63</v>
      </c>
      <c r="X28" s="63">
        <v>37</v>
      </c>
      <c r="Y28" s="63">
        <v>51</v>
      </c>
      <c r="Z28" s="63">
        <v>73</v>
      </c>
      <c r="AA28" s="63">
        <v>0</v>
      </c>
      <c r="AB28" s="63">
        <f t="shared" si="7"/>
        <v>161</v>
      </c>
      <c r="AD28" s="7"/>
    </row>
    <row r="29" spans="2:30" x14ac:dyDescent="0.25">
      <c r="B29" s="6" t="s">
        <v>57</v>
      </c>
      <c r="C29" s="7"/>
      <c r="E29" s="7"/>
      <c r="F29" s="8">
        <f>SUM(F17:F28)</f>
        <v>436</v>
      </c>
      <c r="G29" s="8">
        <f>SUM(G17:G28)</f>
        <v>394</v>
      </c>
      <c r="H29" s="8">
        <f>SUM(H17:H28)</f>
        <v>468</v>
      </c>
      <c r="I29" s="8">
        <f>SUM(I17:I28)</f>
        <v>422</v>
      </c>
      <c r="J29" s="58">
        <f>SUM(J17:J28)</f>
        <v>1720</v>
      </c>
      <c r="K29" s="16"/>
      <c r="L29" s="8">
        <f>SUM(L17:L28)</f>
        <v>396</v>
      </c>
      <c r="M29" s="8">
        <f>SUM(M17:M28)</f>
        <v>473</v>
      </c>
      <c r="N29" s="8">
        <f>SUM(N17:N28)</f>
        <v>536</v>
      </c>
      <c r="O29" s="8">
        <f>SUM(O17:O28)</f>
        <v>549</v>
      </c>
      <c r="P29" s="58">
        <f>SUM(P17:P28)</f>
        <v>1954</v>
      </c>
      <c r="R29" s="8">
        <f>SUM(R17:R28)</f>
        <v>638</v>
      </c>
      <c r="S29" s="8">
        <f>SUM(S17:S28)</f>
        <v>444</v>
      </c>
      <c r="T29" s="8">
        <f>SUM(T17:T28)</f>
        <v>475</v>
      </c>
      <c r="U29" s="8">
        <f>SUM(U17:U28)</f>
        <v>468</v>
      </c>
      <c r="V29" s="58">
        <f>SUM(V17:V28)</f>
        <v>2025</v>
      </c>
      <c r="X29" s="8">
        <f>SUM(X17:X28)</f>
        <v>464</v>
      </c>
      <c r="Y29" s="8">
        <f>SUM(Y17:Y28)</f>
        <v>477</v>
      </c>
      <c r="Z29" s="8">
        <f>SUM(Z17:Z28)</f>
        <v>835</v>
      </c>
      <c r="AA29" s="8">
        <f>SUM(AA17:AA28)</f>
        <v>0</v>
      </c>
      <c r="AB29" s="58">
        <f>SUM(AB17:AB28)</f>
        <v>1776</v>
      </c>
      <c r="AD29" s="7"/>
    </row>
    <row r="30" spans="2:30" s="34" customFormat="1" ht="12.45" customHeight="1" x14ac:dyDescent="0.25">
      <c r="B30" s="94" t="s">
        <v>81</v>
      </c>
      <c r="C30" s="90"/>
      <c r="E30" s="90"/>
      <c r="F30" s="64">
        <f>2</f>
        <v>2</v>
      </c>
      <c r="G30" s="64">
        <v>0</v>
      </c>
      <c r="H30" s="64">
        <f>2</f>
        <v>2</v>
      </c>
      <c r="I30" s="64">
        <f>120</f>
        <v>120</v>
      </c>
      <c r="J30" s="64">
        <f t="shared" ref="J30" si="8">+F30+G30+H30+I30</f>
        <v>124</v>
      </c>
      <c r="K30" s="65"/>
      <c r="L30" s="64">
        <v>54</v>
      </c>
      <c r="M30" s="64">
        <v>4</v>
      </c>
      <c r="N30" s="64">
        <v>2</v>
      </c>
      <c r="O30" s="64">
        <v>-1</v>
      </c>
      <c r="P30" s="64">
        <f t="shared" ref="P30" si="9">+L30+M30+N30+O30</f>
        <v>59</v>
      </c>
      <c r="R30" s="64">
        <v>7</v>
      </c>
      <c r="S30" s="64">
        <v>0</v>
      </c>
      <c r="T30" s="64">
        <v>0</v>
      </c>
      <c r="U30" s="64">
        <v>25</v>
      </c>
      <c r="V30" s="64">
        <f t="shared" ref="V30" si="10">+R30+S30+T30+U30</f>
        <v>32</v>
      </c>
      <c r="X30" s="64">
        <v>6</v>
      </c>
      <c r="Y30" s="64">
        <v>1</v>
      </c>
      <c r="Z30" s="64">
        <v>0</v>
      </c>
      <c r="AA30" s="64">
        <v>0</v>
      </c>
      <c r="AB30" s="64">
        <f t="shared" ref="AB30" si="11">+X30+Y30+Z30+AA30</f>
        <v>7</v>
      </c>
      <c r="AD30" s="7"/>
    </row>
    <row r="31" spans="2:30" x14ac:dyDescent="0.25">
      <c r="B31" s="1" t="s">
        <v>28</v>
      </c>
      <c r="C31" s="7"/>
      <c r="E31" s="7"/>
      <c r="F31" s="16">
        <f>+F14-F29+F30</f>
        <v>-71</v>
      </c>
      <c r="G31" s="16">
        <f>+G14-G29+G30</f>
        <v>-90</v>
      </c>
      <c r="H31" s="16">
        <f>+H14-H29+H30</f>
        <v>122</v>
      </c>
      <c r="I31" s="16">
        <f>+I14-I29+I30</f>
        <v>332</v>
      </c>
      <c r="J31" s="16">
        <f>+J14-J29+J30</f>
        <v>293</v>
      </c>
      <c r="K31" s="16"/>
      <c r="L31" s="16">
        <f>+L14-L29+L30</f>
        <v>-189</v>
      </c>
      <c r="M31" s="16">
        <f>+M14-M29+M30</f>
        <v>278</v>
      </c>
      <c r="N31" s="16">
        <f>+N14-N29+N30</f>
        <v>591</v>
      </c>
      <c r="O31" s="16">
        <f>+O14-O29+O30</f>
        <v>132</v>
      </c>
      <c r="P31" s="16">
        <f>+P14-P29+P30</f>
        <v>812</v>
      </c>
      <c r="R31" s="16">
        <f>+R14-R29+R30</f>
        <v>393</v>
      </c>
      <c r="S31" s="16">
        <f>+S14-S29+S30</f>
        <v>147</v>
      </c>
      <c r="T31" s="16">
        <f>+T14-T29+T30</f>
        <v>-15</v>
      </c>
      <c r="U31" s="16">
        <f>+U14-U29+U30</f>
        <v>283</v>
      </c>
      <c r="V31" s="16">
        <f>+V14-V29+V30</f>
        <v>808</v>
      </c>
      <c r="X31" s="16">
        <f>+X14-X29+X30</f>
        <v>-4</v>
      </c>
      <c r="Y31" s="16">
        <f>+Y14-Y29+Y30</f>
        <v>38</v>
      </c>
      <c r="Z31" s="16">
        <f>+Z14-Z29+Z30</f>
        <v>518</v>
      </c>
      <c r="AA31" s="16">
        <f>+AA14-AA29+AA30</f>
        <v>0</v>
      </c>
      <c r="AB31" s="16">
        <f>+AB14-AB29+AB30</f>
        <v>552</v>
      </c>
      <c r="AD31" s="7"/>
    </row>
    <row r="32" spans="2:30" ht="4.2" customHeight="1" x14ac:dyDescent="0.25">
      <c r="B32" s="6"/>
      <c r="C32" s="7"/>
      <c r="E32" s="7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R32" s="23"/>
      <c r="S32" s="23"/>
      <c r="T32" s="23"/>
      <c r="U32" s="23"/>
      <c r="V32" s="23"/>
      <c r="X32" s="23"/>
      <c r="Y32" s="23"/>
      <c r="Z32" s="23"/>
      <c r="AA32" s="23"/>
      <c r="AB32" s="23"/>
      <c r="AD32" s="7"/>
    </row>
    <row r="33" spans="2:30" ht="13.95" customHeight="1" x14ac:dyDescent="0.25">
      <c r="B33" s="1" t="s">
        <v>63</v>
      </c>
      <c r="C33" s="7"/>
      <c r="E33" s="7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R33" s="23"/>
      <c r="S33" s="23"/>
      <c r="T33" s="23"/>
      <c r="U33" s="23"/>
      <c r="V33" s="23"/>
      <c r="X33" s="23"/>
      <c r="Y33" s="23"/>
      <c r="Z33" s="23"/>
      <c r="AA33" s="23"/>
      <c r="AB33" s="23"/>
      <c r="AD33" s="7"/>
    </row>
    <row r="34" spans="2:30" ht="13.95" customHeight="1" x14ac:dyDescent="0.25">
      <c r="B34" s="62" t="s">
        <v>60</v>
      </c>
      <c r="C34" s="7"/>
      <c r="E34" s="7"/>
      <c r="F34" s="9">
        <v>-2</v>
      </c>
      <c r="G34" s="9">
        <v>-2</v>
      </c>
      <c r="H34" s="9">
        <v>-1</v>
      </c>
      <c r="I34" s="9">
        <v>-1</v>
      </c>
      <c r="J34" s="9">
        <f t="shared" ref="J34:J39" si="12">+F34+G34+H34+I34</f>
        <v>-6</v>
      </c>
      <c r="K34" s="9"/>
      <c r="L34" s="9">
        <v>0</v>
      </c>
      <c r="M34" s="9">
        <v>0</v>
      </c>
      <c r="N34" s="9">
        <v>0</v>
      </c>
      <c r="O34" s="9">
        <v>0</v>
      </c>
      <c r="P34" s="9">
        <f t="shared" ref="P34:P39" si="13">+L34+M34+N34+O34</f>
        <v>0</v>
      </c>
      <c r="R34" s="9">
        <v>0</v>
      </c>
      <c r="S34" s="9">
        <v>0</v>
      </c>
      <c r="T34" s="9">
        <v>0</v>
      </c>
      <c r="U34" s="9">
        <v>0</v>
      </c>
      <c r="V34" s="9">
        <f t="shared" ref="V34:V39" si="14">+R34+S34+T34+U34</f>
        <v>0</v>
      </c>
      <c r="X34" s="9">
        <v>0</v>
      </c>
      <c r="Y34" s="9">
        <v>0</v>
      </c>
      <c r="Z34" s="9">
        <v>0</v>
      </c>
      <c r="AA34" s="9">
        <v>0</v>
      </c>
      <c r="AB34" s="9">
        <f t="shared" ref="AB34:AB39" si="15">+X34+Y34+Z34+AA34</f>
        <v>0</v>
      </c>
      <c r="AD34" s="7"/>
    </row>
    <row r="35" spans="2:30" ht="13.95" customHeight="1" x14ac:dyDescent="0.25">
      <c r="B35" s="62" t="s">
        <v>19</v>
      </c>
      <c r="C35" s="7"/>
      <c r="E35" s="7"/>
      <c r="F35" s="9">
        <v>-13</v>
      </c>
      <c r="G35" s="9">
        <v>-13</v>
      </c>
      <c r="H35" s="9">
        <v>-14</v>
      </c>
      <c r="I35" s="9">
        <v>-14</v>
      </c>
      <c r="J35" s="9">
        <f t="shared" si="12"/>
        <v>-54</v>
      </c>
      <c r="K35" s="9"/>
      <c r="L35" s="9">
        <v>-13</v>
      </c>
      <c r="M35" s="9">
        <v>-13</v>
      </c>
      <c r="N35" s="9">
        <v>-13</v>
      </c>
      <c r="O35" s="9">
        <v>-14</v>
      </c>
      <c r="P35" s="9">
        <f t="shared" si="13"/>
        <v>-53</v>
      </c>
      <c r="R35" s="9">
        <v>-14</v>
      </c>
      <c r="S35" s="9">
        <v>-14</v>
      </c>
      <c r="T35" s="9">
        <v>-15</v>
      </c>
      <c r="U35" s="9">
        <v>-13</v>
      </c>
      <c r="V35" s="9">
        <f t="shared" si="14"/>
        <v>-56</v>
      </c>
      <c r="X35" s="9">
        <v>-13</v>
      </c>
      <c r="Y35" s="9">
        <v>-17</v>
      </c>
      <c r="Z35" s="9">
        <v>-29</v>
      </c>
      <c r="AA35" s="9">
        <v>0</v>
      </c>
      <c r="AB35" s="9">
        <f t="shared" si="15"/>
        <v>-59</v>
      </c>
      <c r="AD35" s="7"/>
    </row>
    <row r="36" spans="2:30" ht="13.95" customHeight="1" x14ac:dyDescent="0.25">
      <c r="B36" s="62" t="s">
        <v>77</v>
      </c>
      <c r="C36" s="7"/>
      <c r="E36" s="7"/>
      <c r="F36" s="9"/>
      <c r="G36" s="9"/>
      <c r="H36" s="9"/>
      <c r="I36" s="9"/>
      <c r="J36" s="9"/>
      <c r="K36" s="9"/>
      <c r="L36" s="9">
        <v>0</v>
      </c>
      <c r="M36" s="9">
        <v>0</v>
      </c>
      <c r="N36" s="9">
        <v>0</v>
      </c>
      <c r="O36" s="9">
        <v>-1</v>
      </c>
      <c r="P36" s="9">
        <f t="shared" ref="P36" si="16">+L36+M36+N36+O36</f>
        <v>-1</v>
      </c>
      <c r="R36" s="9">
        <v>-2</v>
      </c>
      <c r="S36" s="9">
        <v>-1</v>
      </c>
      <c r="T36" s="9">
        <v>-3</v>
      </c>
      <c r="U36" s="9">
        <v>-3</v>
      </c>
      <c r="V36" s="9">
        <f t="shared" si="14"/>
        <v>-9</v>
      </c>
      <c r="X36" s="9">
        <v>-3</v>
      </c>
      <c r="Y36" s="9">
        <v>-4</v>
      </c>
      <c r="Z36" s="9">
        <v>-2</v>
      </c>
      <c r="AA36" s="9">
        <v>0</v>
      </c>
      <c r="AB36" s="9">
        <f t="shared" si="15"/>
        <v>-9</v>
      </c>
      <c r="AD36" s="7"/>
    </row>
    <row r="37" spans="2:30" ht="13.95" customHeight="1" x14ac:dyDescent="0.25">
      <c r="B37" s="62" t="s">
        <v>51</v>
      </c>
      <c r="C37" s="7"/>
      <c r="E37" s="7"/>
      <c r="F37" s="9">
        <v>-2</v>
      </c>
      <c r="G37" s="9">
        <v>0</v>
      </c>
      <c r="H37" s="9">
        <v>0</v>
      </c>
      <c r="I37" s="9">
        <v>0</v>
      </c>
      <c r="J37" s="9">
        <f t="shared" si="12"/>
        <v>-2</v>
      </c>
      <c r="K37" s="9"/>
      <c r="L37" s="9">
        <v>0</v>
      </c>
      <c r="M37" s="9">
        <v>0</v>
      </c>
      <c r="N37" s="9">
        <v>0</v>
      </c>
      <c r="O37" s="9">
        <v>0</v>
      </c>
      <c r="P37" s="9">
        <f t="shared" si="13"/>
        <v>0</v>
      </c>
      <c r="R37" s="9">
        <v>0</v>
      </c>
      <c r="S37" s="9">
        <v>0</v>
      </c>
      <c r="T37" s="9">
        <v>0</v>
      </c>
      <c r="U37" s="9">
        <v>-1</v>
      </c>
      <c r="V37" s="9">
        <f t="shared" si="14"/>
        <v>-1</v>
      </c>
      <c r="X37" s="9">
        <v>0</v>
      </c>
      <c r="Y37" s="9">
        <v>0</v>
      </c>
      <c r="Z37" s="9">
        <v>-5</v>
      </c>
      <c r="AA37" s="9">
        <v>0</v>
      </c>
      <c r="AB37" s="9">
        <f t="shared" si="15"/>
        <v>-5</v>
      </c>
      <c r="AD37" s="7"/>
    </row>
    <row r="38" spans="2:30" ht="13.95" hidden="1" customHeight="1" x14ac:dyDescent="0.25">
      <c r="B38" s="62"/>
      <c r="C38" s="7"/>
      <c r="E38" s="7"/>
      <c r="F38" s="9">
        <v>0</v>
      </c>
      <c r="G38" s="9">
        <v>0</v>
      </c>
      <c r="H38" s="9">
        <v>0</v>
      </c>
      <c r="I38" s="9">
        <v>0</v>
      </c>
      <c r="J38" s="51">
        <f t="shared" si="12"/>
        <v>0</v>
      </c>
      <c r="K38" s="51"/>
      <c r="L38" s="9">
        <v>0</v>
      </c>
      <c r="M38" s="9">
        <v>0</v>
      </c>
      <c r="N38" s="9">
        <v>0</v>
      </c>
      <c r="O38" s="9">
        <v>0</v>
      </c>
      <c r="P38" s="51">
        <f t="shared" si="13"/>
        <v>0</v>
      </c>
      <c r="R38" s="9">
        <v>0</v>
      </c>
      <c r="S38" s="9">
        <v>0</v>
      </c>
      <c r="T38" s="9">
        <v>0</v>
      </c>
      <c r="U38" s="9">
        <v>0</v>
      </c>
      <c r="V38" s="51">
        <f t="shared" si="14"/>
        <v>0</v>
      </c>
      <c r="X38" s="9">
        <v>0</v>
      </c>
      <c r="Y38" s="9">
        <v>0</v>
      </c>
      <c r="Z38" s="9">
        <v>0</v>
      </c>
      <c r="AA38" s="9">
        <v>0</v>
      </c>
      <c r="AB38" s="51">
        <f t="shared" si="15"/>
        <v>0</v>
      </c>
      <c r="AD38" s="7"/>
    </row>
    <row r="39" spans="2:30" ht="13.95" customHeight="1" x14ac:dyDescent="0.25">
      <c r="B39" s="62" t="s">
        <v>80</v>
      </c>
      <c r="C39" s="7"/>
      <c r="E39" s="7"/>
      <c r="F39" s="63">
        <f>-1</f>
        <v>-1</v>
      </c>
      <c r="G39" s="63">
        <v>-2</v>
      </c>
      <c r="H39" s="63">
        <v>0</v>
      </c>
      <c r="I39" s="63">
        <v>1</v>
      </c>
      <c r="J39" s="64">
        <f t="shared" si="12"/>
        <v>-2</v>
      </c>
      <c r="K39" s="65"/>
      <c r="L39" s="63">
        <v>1</v>
      </c>
      <c r="M39" s="63">
        <v>1</v>
      </c>
      <c r="N39" s="63">
        <v>1</v>
      </c>
      <c r="O39" s="63">
        <v>0</v>
      </c>
      <c r="P39" s="64">
        <f t="shared" si="13"/>
        <v>3</v>
      </c>
      <c r="R39" s="63">
        <v>-1</v>
      </c>
      <c r="S39" s="63">
        <v>3</v>
      </c>
      <c r="T39" s="63">
        <v>3</v>
      </c>
      <c r="U39" s="63">
        <v>1</v>
      </c>
      <c r="V39" s="64">
        <f t="shared" si="14"/>
        <v>6</v>
      </c>
      <c r="X39" s="63">
        <v>1</v>
      </c>
      <c r="Y39" s="63">
        <v>-6</v>
      </c>
      <c r="Z39" s="63">
        <v>1</v>
      </c>
      <c r="AA39" s="63">
        <v>0</v>
      </c>
      <c r="AB39" s="64">
        <f t="shared" si="15"/>
        <v>-4</v>
      </c>
      <c r="AD39" s="7"/>
    </row>
    <row r="40" spans="2:30" ht="14.7" customHeight="1" x14ac:dyDescent="0.25">
      <c r="B40" s="1" t="s">
        <v>25</v>
      </c>
      <c r="C40" s="7"/>
      <c r="E40" s="7"/>
      <c r="F40" s="9">
        <f t="shared" ref="F40:J40" si="17">+F31+F34+F35+F37+F39+F38</f>
        <v>-89</v>
      </c>
      <c r="G40" s="9">
        <f t="shared" si="17"/>
        <v>-107</v>
      </c>
      <c r="H40" s="9">
        <f t="shared" si="17"/>
        <v>107</v>
      </c>
      <c r="I40" s="9">
        <f t="shared" si="17"/>
        <v>318</v>
      </c>
      <c r="J40" s="51">
        <f t="shared" si="17"/>
        <v>229</v>
      </c>
      <c r="K40" s="9"/>
      <c r="L40" s="9">
        <f>+L31+L34+L35+L36+L37+L39+L38</f>
        <v>-201</v>
      </c>
      <c r="M40" s="9">
        <f t="shared" ref="M40:P40" si="18">+M31+M34+M35+M36+M37+M39+M38</f>
        <v>266</v>
      </c>
      <c r="N40" s="9">
        <f t="shared" si="18"/>
        <v>579</v>
      </c>
      <c r="O40" s="9">
        <f t="shared" si="18"/>
        <v>117</v>
      </c>
      <c r="P40" s="9">
        <f t="shared" si="18"/>
        <v>761</v>
      </c>
      <c r="R40" s="9">
        <f>+R31+R34+R35+R36+R37+R39+R38</f>
        <v>376</v>
      </c>
      <c r="S40" s="9">
        <f t="shared" ref="S40:V40" si="19">+S31+S34+S35+S36+S37+S39+S38</f>
        <v>135</v>
      </c>
      <c r="T40" s="9">
        <f t="shared" si="19"/>
        <v>-30</v>
      </c>
      <c r="U40" s="9">
        <f t="shared" si="19"/>
        <v>267</v>
      </c>
      <c r="V40" s="9">
        <f t="shared" si="19"/>
        <v>748</v>
      </c>
      <c r="X40" s="9">
        <f>+X31+X34+X35+X36+X37+X39+X38</f>
        <v>-19</v>
      </c>
      <c r="Y40" s="9">
        <f t="shared" ref="Y40:AB40" si="20">+Y31+Y34+Y35+Y36+Y37+Y39+Y38</f>
        <v>11</v>
      </c>
      <c r="Z40" s="9">
        <f t="shared" si="20"/>
        <v>483</v>
      </c>
      <c r="AA40" s="9">
        <f t="shared" si="20"/>
        <v>0</v>
      </c>
      <c r="AB40" s="9">
        <f t="shared" si="20"/>
        <v>475</v>
      </c>
      <c r="AD40" s="7"/>
    </row>
    <row r="41" spans="2:30" ht="14.7" customHeight="1" x14ac:dyDescent="0.25">
      <c r="B41" s="37" t="s">
        <v>61</v>
      </c>
      <c r="C41" s="7"/>
      <c r="E41" s="7"/>
      <c r="F41" s="9">
        <v>0</v>
      </c>
      <c r="G41" s="9">
        <v>0</v>
      </c>
      <c r="H41" s="9">
        <v>0</v>
      </c>
      <c r="I41" s="9">
        <v>396</v>
      </c>
      <c r="J41" s="51">
        <f t="shared" ref="J41" si="21">+F41+G41+H41+I41</f>
        <v>396</v>
      </c>
      <c r="K41" s="51"/>
      <c r="L41" s="9">
        <v>26</v>
      </c>
      <c r="M41" s="9">
        <v>-76</v>
      </c>
      <c r="N41" s="9">
        <v>-153</v>
      </c>
      <c r="O41" s="9">
        <v>-34</v>
      </c>
      <c r="P41" s="51">
        <f t="shared" ref="P41" si="22">+L41+M41+N41+O41</f>
        <v>-237</v>
      </c>
      <c r="R41" s="9">
        <v>-75</v>
      </c>
      <c r="S41" s="9">
        <v>-38</v>
      </c>
      <c r="T41" s="9">
        <v>8</v>
      </c>
      <c r="U41" s="9">
        <v>-79</v>
      </c>
      <c r="V41" s="51">
        <f t="shared" ref="V41" si="23">+R41+S41+T41+U41</f>
        <v>-184</v>
      </c>
      <c r="X41" s="9">
        <v>9</v>
      </c>
      <c r="Y41" s="9">
        <v>-3</v>
      </c>
      <c r="Z41" s="9">
        <v>-138</v>
      </c>
      <c r="AA41" s="9">
        <v>0</v>
      </c>
      <c r="AB41" s="51">
        <f t="shared" ref="AB41" si="24">+X41+Y41+Z41+AA41</f>
        <v>-132</v>
      </c>
      <c r="AD41" s="7"/>
    </row>
    <row r="42" spans="2:30" s="10" customFormat="1" ht="14.7" customHeight="1" x14ac:dyDescent="0.25">
      <c r="B42" s="1" t="s">
        <v>26</v>
      </c>
      <c r="C42" s="29"/>
      <c r="D42" s="28"/>
      <c r="E42" s="7"/>
      <c r="F42" s="17">
        <f>+F40+F41</f>
        <v>-89</v>
      </c>
      <c r="G42" s="17">
        <f>+G40+G41</f>
        <v>-107</v>
      </c>
      <c r="H42" s="17">
        <f>+H40+H41</f>
        <v>107</v>
      </c>
      <c r="I42" s="17">
        <f>+I40+I41</f>
        <v>714</v>
      </c>
      <c r="J42" s="17">
        <f t="shared" ref="J42" si="25">+J40+J41</f>
        <v>625</v>
      </c>
      <c r="K42" s="16"/>
      <c r="L42" s="17">
        <f>+L40+L41</f>
        <v>-175</v>
      </c>
      <c r="M42" s="17">
        <f>+M40+M41</f>
        <v>190</v>
      </c>
      <c r="N42" s="17">
        <f>+N40+N41</f>
        <v>426</v>
      </c>
      <c r="O42" s="17">
        <f>+O40+O41</f>
        <v>83</v>
      </c>
      <c r="P42" s="17">
        <f t="shared" ref="P42" si="26">+P40+P41</f>
        <v>524</v>
      </c>
      <c r="R42" s="17">
        <f>+R40+R41</f>
        <v>301</v>
      </c>
      <c r="S42" s="17">
        <f>+S40+S41</f>
        <v>97</v>
      </c>
      <c r="T42" s="17">
        <f>+T40+T41</f>
        <v>-22</v>
      </c>
      <c r="U42" s="17">
        <f>+U40+U41</f>
        <v>188</v>
      </c>
      <c r="V42" s="17">
        <f t="shared" ref="V42" si="27">+V40+V41</f>
        <v>564</v>
      </c>
      <c r="X42" s="17">
        <f>+X40+X41</f>
        <v>-10</v>
      </c>
      <c r="Y42" s="17">
        <f>+Y40+Y41</f>
        <v>8</v>
      </c>
      <c r="Z42" s="17">
        <f>+Z40+Z41</f>
        <v>345</v>
      </c>
      <c r="AA42" s="17">
        <f>+AA40+AA41</f>
        <v>0</v>
      </c>
      <c r="AB42" s="17">
        <f t="shared" ref="AB42" si="28">+AB40+AB41</f>
        <v>343</v>
      </c>
      <c r="AD42" s="7"/>
    </row>
    <row r="43" spans="2:30" s="10" customFormat="1" ht="3.6" customHeight="1" x14ac:dyDescent="0.25">
      <c r="B43" s="1"/>
      <c r="C43" s="29"/>
      <c r="D43" s="28"/>
      <c r="E43" s="7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R43" s="16"/>
      <c r="S43" s="16"/>
      <c r="T43" s="16"/>
      <c r="U43" s="16"/>
      <c r="V43" s="16"/>
      <c r="X43" s="16"/>
      <c r="Y43" s="16"/>
      <c r="Z43" s="16"/>
      <c r="AA43" s="16"/>
      <c r="AB43" s="16"/>
      <c r="AD43" s="7"/>
    </row>
    <row r="44" spans="2:30" s="10" customFormat="1" ht="14.7" customHeight="1" x14ac:dyDescent="0.25">
      <c r="B44" s="79" t="s">
        <v>41</v>
      </c>
      <c r="C44" s="29"/>
      <c r="D44" s="28"/>
      <c r="E44" s="7"/>
      <c r="F44" s="16"/>
      <c r="G44" s="39"/>
      <c r="H44" s="39"/>
      <c r="I44" s="39"/>
      <c r="J44" s="16"/>
      <c r="K44" s="16"/>
      <c r="L44" s="16"/>
      <c r="M44" s="39"/>
      <c r="N44" s="39"/>
      <c r="O44" s="39"/>
      <c r="P44" s="16"/>
      <c r="Q44" s="66"/>
      <c r="R44" s="16"/>
      <c r="S44" s="39"/>
      <c r="T44" s="39"/>
      <c r="U44" s="39"/>
      <c r="V44" s="16"/>
      <c r="X44" s="16"/>
      <c r="Y44" s="39"/>
      <c r="Z44" s="39"/>
      <c r="AA44" s="39"/>
      <c r="AB44" s="16"/>
      <c r="AD44" s="7"/>
    </row>
    <row r="45" spans="2:30" s="10" customFormat="1" ht="14.7" customHeight="1" x14ac:dyDescent="0.25">
      <c r="B45" s="68" t="s">
        <v>40</v>
      </c>
      <c r="C45" s="29"/>
      <c r="D45" s="28"/>
      <c r="E45" s="7"/>
      <c r="F45" s="16">
        <v>0</v>
      </c>
      <c r="G45" s="39">
        <v>0</v>
      </c>
      <c r="H45" s="39">
        <v>0</v>
      </c>
      <c r="I45" s="39">
        <v>0</v>
      </c>
      <c r="J45" s="9">
        <f t="shared" ref="J45" si="29">+F45+G45+H45+I45</f>
        <v>0</v>
      </c>
      <c r="K45" s="9"/>
      <c r="L45" s="16">
        <v>0</v>
      </c>
      <c r="M45" s="39">
        <v>0</v>
      </c>
      <c r="N45" s="39">
        <v>0</v>
      </c>
      <c r="O45" s="39">
        <v>0</v>
      </c>
      <c r="P45" s="9">
        <f t="shared" ref="P45:P46" si="30">+L45+M45+N45+O45</f>
        <v>0</v>
      </c>
      <c r="R45" s="16">
        <v>0</v>
      </c>
      <c r="S45" s="39">
        <v>0</v>
      </c>
      <c r="T45" s="39">
        <v>0</v>
      </c>
      <c r="U45" s="39">
        <v>0</v>
      </c>
      <c r="V45" s="9">
        <f t="shared" ref="V45:V46" si="31">+R45+S45+T45+U45</f>
        <v>0</v>
      </c>
      <c r="X45" s="16">
        <v>0</v>
      </c>
      <c r="Y45" s="39">
        <v>0</v>
      </c>
      <c r="Z45" s="39">
        <v>0</v>
      </c>
      <c r="AA45" s="39">
        <v>0</v>
      </c>
      <c r="AB45" s="9">
        <f t="shared" ref="AB45:AB46" si="32">+X45+Y45+Z45+AA45</f>
        <v>0</v>
      </c>
      <c r="AD45" s="7"/>
    </row>
    <row r="46" spans="2:30" s="10" customFormat="1" ht="14.7" customHeight="1" x14ac:dyDescent="0.25">
      <c r="B46" s="68" t="s">
        <v>62</v>
      </c>
      <c r="C46" s="29"/>
      <c r="D46" s="28"/>
      <c r="E46" s="7"/>
      <c r="F46" s="63">
        <v>-5</v>
      </c>
      <c r="G46" s="77">
        <v>-4</v>
      </c>
      <c r="H46" s="77">
        <v>-4</v>
      </c>
      <c r="I46" s="77">
        <v>0</v>
      </c>
      <c r="J46" s="9">
        <f t="shared" ref="J46" si="33">+F46+G46+H46+I46</f>
        <v>-13</v>
      </c>
      <c r="K46" s="9"/>
      <c r="L46" s="63">
        <v>0</v>
      </c>
      <c r="M46" s="77">
        <v>0</v>
      </c>
      <c r="N46" s="77">
        <v>0</v>
      </c>
      <c r="O46" s="77">
        <v>0</v>
      </c>
      <c r="P46" s="9">
        <f t="shared" si="30"/>
        <v>0</v>
      </c>
      <c r="R46" s="63">
        <v>0</v>
      </c>
      <c r="S46" s="77">
        <v>0</v>
      </c>
      <c r="T46" s="77">
        <v>0</v>
      </c>
      <c r="U46" s="77">
        <v>0</v>
      </c>
      <c r="V46" s="9">
        <f t="shared" si="31"/>
        <v>0</v>
      </c>
      <c r="X46" s="63">
        <v>0</v>
      </c>
      <c r="Y46" s="77">
        <v>0</v>
      </c>
      <c r="Z46" s="77">
        <v>0</v>
      </c>
      <c r="AA46" s="77">
        <v>0</v>
      </c>
      <c r="AB46" s="9">
        <f t="shared" si="32"/>
        <v>0</v>
      </c>
      <c r="AD46" s="7"/>
    </row>
    <row r="47" spans="2:30" s="10" customFormat="1" ht="14.7" customHeight="1" x14ac:dyDescent="0.25">
      <c r="B47" s="68" t="s">
        <v>42</v>
      </c>
      <c r="C47" s="29"/>
      <c r="D47" s="28"/>
      <c r="E47" s="7"/>
      <c r="F47" s="16">
        <f>SUM(F45:F46)</f>
        <v>-5</v>
      </c>
      <c r="G47" s="16">
        <f>SUM(G45:G46)</f>
        <v>-4</v>
      </c>
      <c r="H47" s="16">
        <f>SUM(H45:H46)</f>
        <v>-4</v>
      </c>
      <c r="I47" s="16">
        <f>SUM(I45:I46)</f>
        <v>0</v>
      </c>
      <c r="J47" s="17">
        <f>SUM(J45:J46)</f>
        <v>-13</v>
      </c>
      <c r="K47" s="16"/>
      <c r="L47" s="16">
        <f>SUM(L45:L46)</f>
        <v>0</v>
      </c>
      <c r="M47" s="16">
        <f>SUM(M45:M46)</f>
        <v>0</v>
      </c>
      <c r="N47" s="16">
        <f>SUM(N45:N46)</f>
        <v>0</v>
      </c>
      <c r="O47" s="16">
        <f>SUM(O45:O46)</f>
        <v>0</v>
      </c>
      <c r="P47" s="17">
        <f>SUM(P45:P46)</f>
        <v>0</v>
      </c>
      <c r="R47" s="16">
        <f>SUM(R45:R46)</f>
        <v>0</v>
      </c>
      <c r="S47" s="16">
        <f>SUM(S45:S46)</f>
        <v>0</v>
      </c>
      <c r="T47" s="16">
        <f>SUM(T45:T46)</f>
        <v>0</v>
      </c>
      <c r="U47" s="16">
        <f>SUM(U45:U46)</f>
        <v>0</v>
      </c>
      <c r="V47" s="17">
        <f>SUM(V45:V46)</f>
        <v>0</v>
      </c>
      <c r="X47" s="16">
        <f>SUM(X45:X46)</f>
        <v>0</v>
      </c>
      <c r="Y47" s="16">
        <f>SUM(Y45:Y46)</f>
        <v>0</v>
      </c>
      <c r="Z47" s="16">
        <f>SUM(Z45:Z46)</f>
        <v>0</v>
      </c>
      <c r="AA47" s="16">
        <f>SUM(AA45:AA46)</f>
        <v>0</v>
      </c>
      <c r="AB47" s="17">
        <f>SUM(AB45:AB46)</f>
        <v>0</v>
      </c>
      <c r="AD47" s="7"/>
    </row>
    <row r="48" spans="2:30" s="10" customFormat="1" ht="4.2" customHeight="1" x14ac:dyDescent="0.25">
      <c r="B48" s="68"/>
      <c r="C48" s="29"/>
      <c r="D48" s="28"/>
      <c r="E48" s="7"/>
      <c r="F48" s="16"/>
      <c r="G48" s="39"/>
      <c r="H48" s="39"/>
      <c r="I48" s="39"/>
      <c r="J48" s="16"/>
      <c r="K48" s="16"/>
      <c r="L48" s="16"/>
      <c r="M48" s="39"/>
      <c r="N48" s="39"/>
      <c r="O48" s="39"/>
      <c r="P48" s="16"/>
      <c r="R48" s="16"/>
      <c r="S48" s="39"/>
      <c r="T48" s="39"/>
      <c r="U48" s="39"/>
      <c r="V48" s="16"/>
      <c r="X48" s="16"/>
      <c r="Y48" s="39"/>
      <c r="Z48" s="39"/>
      <c r="AA48" s="39"/>
      <c r="AB48" s="16"/>
      <c r="AD48" s="7"/>
    </row>
    <row r="49" spans="1:30" ht="14.7" customHeight="1" thickBot="1" x14ac:dyDescent="0.3">
      <c r="B49" s="1" t="s">
        <v>27</v>
      </c>
      <c r="E49" s="7"/>
      <c r="F49" s="67">
        <f>+F42+F47</f>
        <v>-94</v>
      </c>
      <c r="G49" s="67">
        <f>+G42+G47</f>
        <v>-111</v>
      </c>
      <c r="H49" s="67">
        <f>+H42+H47</f>
        <v>103</v>
      </c>
      <c r="I49" s="67">
        <f>+I42+I47</f>
        <v>714</v>
      </c>
      <c r="J49" s="67">
        <f>+J42+J47</f>
        <v>612</v>
      </c>
      <c r="K49" s="15"/>
      <c r="L49" s="67">
        <f>+L42+L47</f>
        <v>-175</v>
      </c>
      <c r="M49" s="67">
        <f>+M42+M47</f>
        <v>190</v>
      </c>
      <c r="N49" s="67">
        <f>+N42+N47</f>
        <v>426</v>
      </c>
      <c r="O49" s="67">
        <f>+O42+O47</f>
        <v>83</v>
      </c>
      <c r="P49" s="67">
        <f>+P42+P47</f>
        <v>524</v>
      </c>
      <c r="R49" s="67">
        <f>+R42+R47</f>
        <v>301</v>
      </c>
      <c r="S49" s="67">
        <f>+S42+S47</f>
        <v>97</v>
      </c>
      <c r="T49" s="67">
        <f>+T42+T47</f>
        <v>-22</v>
      </c>
      <c r="U49" s="67">
        <f>+U42+U47</f>
        <v>188</v>
      </c>
      <c r="V49" s="67">
        <f>+V42+V47</f>
        <v>564</v>
      </c>
      <c r="X49" s="67">
        <f>+X42+X47</f>
        <v>-10</v>
      </c>
      <c r="Y49" s="67">
        <f>+Y42+Y47</f>
        <v>8</v>
      </c>
      <c r="Z49" s="67">
        <f>+Z42+Z47</f>
        <v>345</v>
      </c>
      <c r="AA49" s="67">
        <f>+AA42+AA47</f>
        <v>0</v>
      </c>
      <c r="AB49" s="67">
        <f>+AB42+AB47</f>
        <v>343</v>
      </c>
      <c r="AD49" s="7"/>
    </row>
    <row r="50" spans="1:30" ht="13.8" thickTop="1" x14ac:dyDescent="0.25">
      <c r="C50" s="11"/>
      <c r="H50" s="34"/>
      <c r="N50" s="34"/>
      <c r="T50" s="34"/>
      <c r="Z50" s="34"/>
      <c r="AD50" s="7"/>
    </row>
    <row r="51" spans="1:30" ht="15.6" x14ac:dyDescent="0.25">
      <c r="B51" s="100" t="s">
        <v>93</v>
      </c>
      <c r="C51" s="11"/>
      <c r="H51" s="34"/>
      <c r="N51" s="34"/>
      <c r="T51" s="34"/>
      <c r="Z51" s="34"/>
    </row>
    <row r="52" spans="1:30" x14ac:dyDescent="0.25">
      <c r="B52" s="5"/>
      <c r="C52" s="11"/>
      <c r="H52" s="34"/>
      <c r="N52" s="34"/>
      <c r="T52" s="34"/>
      <c r="Z52" s="34"/>
    </row>
    <row r="53" spans="1:30" x14ac:dyDescent="0.25">
      <c r="B53" s="37" t="s">
        <v>64</v>
      </c>
      <c r="C53" s="11"/>
      <c r="F53" s="7">
        <f>F9</f>
        <v>432</v>
      </c>
      <c r="G53" s="7">
        <f>G9</f>
        <v>478</v>
      </c>
      <c r="H53" s="90">
        <f>H9</f>
        <v>549</v>
      </c>
      <c r="I53" s="7">
        <f>I9</f>
        <v>589</v>
      </c>
      <c r="J53" s="7">
        <f>J9</f>
        <v>2048</v>
      </c>
      <c r="K53" s="7"/>
      <c r="L53" s="7">
        <f>L9</f>
        <v>628</v>
      </c>
      <c r="M53" s="7">
        <f>M9</f>
        <v>718</v>
      </c>
      <c r="N53" s="90">
        <f>N9</f>
        <v>680</v>
      </c>
      <c r="O53" s="7">
        <f>O9</f>
        <v>617</v>
      </c>
      <c r="P53" s="7">
        <f>P9</f>
        <v>2643</v>
      </c>
      <c r="R53" s="7">
        <f>R9</f>
        <v>715</v>
      </c>
      <c r="S53" s="7">
        <f>S9</f>
        <v>447</v>
      </c>
      <c r="T53" s="90">
        <f>T9</f>
        <v>510</v>
      </c>
      <c r="U53" s="7">
        <f>U9</f>
        <v>483</v>
      </c>
      <c r="V53" s="7">
        <f>V9</f>
        <v>2155</v>
      </c>
      <c r="X53" s="7">
        <f>X9</f>
        <v>429</v>
      </c>
      <c r="Y53" s="7">
        <f>Y9</f>
        <v>412</v>
      </c>
      <c r="Z53" s="90">
        <f>Z9</f>
        <v>870</v>
      </c>
      <c r="AA53" s="7">
        <f>AA9</f>
        <v>0</v>
      </c>
      <c r="AB53" s="7">
        <f>AB9</f>
        <v>1711</v>
      </c>
    </row>
    <row r="54" spans="1:30" x14ac:dyDescent="0.25">
      <c r="B54" t="s">
        <v>65</v>
      </c>
      <c r="C54" s="11"/>
      <c r="E54" s="20"/>
      <c r="F54" s="20">
        <v>-39</v>
      </c>
      <c r="G54" s="20">
        <v>-82</v>
      </c>
      <c r="H54" s="91">
        <v>-99</v>
      </c>
      <c r="I54" s="20">
        <v>-99</v>
      </c>
      <c r="J54" s="20">
        <f>SUM(F54:I54)</f>
        <v>-319</v>
      </c>
      <c r="K54" s="20"/>
      <c r="L54" s="20">
        <v>-181</v>
      </c>
      <c r="M54" s="91">
        <v>-241</v>
      </c>
      <c r="N54" s="91">
        <v>-182</v>
      </c>
      <c r="O54" s="91">
        <v>-134</v>
      </c>
      <c r="P54" s="20">
        <f>SUM(L54:O54)</f>
        <v>-738</v>
      </c>
      <c r="R54" s="91">
        <f>-65</f>
        <v>-65</v>
      </c>
      <c r="S54" s="91">
        <v>-63</v>
      </c>
      <c r="T54" s="91">
        <v>-95</v>
      </c>
      <c r="U54" s="91">
        <v>-49</v>
      </c>
      <c r="V54" s="20">
        <f>SUM(R54:U54)</f>
        <v>-272</v>
      </c>
      <c r="X54" s="91">
        <v>-12</v>
      </c>
      <c r="Y54" s="91">
        <v>-6</v>
      </c>
      <c r="Z54" s="91">
        <v>-17</v>
      </c>
      <c r="AA54" s="91">
        <v>0</v>
      </c>
      <c r="AB54" s="20">
        <f>SUM(X54:AA54)</f>
        <v>-35</v>
      </c>
    </row>
    <row r="55" spans="1:30" ht="13.8" thickBot="1" x14ac:dyDescent="0.3">
      <c r="B55" t="s">
        <v>66</v>
      </c>
      <c r="C55" s="11"/>
      <c r="F55" s="67">
        <f t="shared" ref="F55" si="34">SUM(F53:F54)</f>
        <v>393</v>
      </c>
      <c r="G55" s="67">
        <f t="shared" ref="G55" si="35">SUM(G53:G54)</f>
        <v>396</v>
      </c>
      <c r="H55" s="67">
        <f t="shared" ref="H55" si="36">SUM(H53:H54)</f>
        <v>450</v>
      </c>
      <c r="I55" s="67">
        <f t="shared" ref="I55" si="37">SUM(I53:I54)</f>
        <v>490</v>
      </c>
      <c r="J55" s="67">
        <f t="shared" ref="J55" si="38">SUM(J53:J54)</f>
        <v>1729</v>
      </c>
      <c r="K55" s="15"/>
      <c r="L55" s="67">
        <f t="shared" ref="L55:P55" si="39">SUM(L53:L54)</f>
        <v>447</v>
      </c>
      <c r="M55" s="67">
        <f t="shared" si="39"/>
        <v>477</v>
      </c>
      <c r="N55" s="67">
        <f t="shared" si="39"/>
        <v>498</v>
      </c>
      <c r="O55" s="67">
        <f t="shared" si="39"/>
        <v>483</v>
      </c>
      <c r="P55" s="67">
        <f t="shared" si="39"/>
        <v>1905</v>
      </c>
      <c r="R55" s="67">
        <f t="shared" ref="R55:V55" si="40">SUM(R53:R54)</f>
        <v>650</v>
      </c>
      <c r="S55" s="67">
        <f t="shared" si="40"/>
        <v>384</v>
      </c>
      <c r="T55" s="67">
        <f t="shared" si="40"/>
        <v>415</v>
      </c>
      <c r="U55" s="67">
        <f t="shared" si="40"/>
        <v>434</v>
      </c>
      <c r="V55" s="67">
        <f t="shared" si="40"/>
        <v>1883</v>
      </c>
      <c r="X55" s="67">
        <f t="shared" ref="X55:AB55" si="41">SUM(X53:X54)</f>
        <v>417</v>
      </c>
      <c r="Y55" s="67">
        <f t="shared" si="41"/>
        <v>406</v>
      </c>
      <c r="Z55" s="67">
        <f t="shared" si="41"/>
        <v>853</v>
      </c>
      <c r="AA55" s="67">
        <f t="shared" si="41"/>
        <v>0</v>
      </c>
      <c r="AB55" s="67">
        <f t="shared" si="41"/>
        <v>1676</v>
      </c>
    </row>
    <row r="56" spans="1:30" ht="13.8" thickTop="1" x14ac:dyDescent="0.25">
      <c r="F56" s="10"/>
      <c r="G56" s="10"/>
      <c r="H56" s="34"/>
      <c r="L56" s="10"/>
      <c r="M56" s="10"/>
      <c r="N56" s="34"/>
      <c r="R56" s="10"/>
      <c r="S56" s="10"/>
      <c r="T56" s="34"/>
      <c r="X56" s="10"/>
      <c r="Y56" s="10"/>
      <c r="Z56" s="34"/>
    </row>
    <row r="57" spans="1:30" ht="16.2" thickBot="1" x14ac:dyDescent="0.35">
      <c r="B57" s="24" t="s">
        <v>34</v>
      </c>
      <c r="C57" s="26"/>
      <c r="D57" s="41"/>
      <c r="F57" s="26"/>
      <c r="G57" s="26"/>
      <c r="H57" s="41"/>
      <c r="I57" s="26"/>
      <c r="J57" s="26"/>
      <c r="K57" s="11"/>
      <c r="L57" s="26"/>
      <c r="M57" s="26"/>
      <c r="N57" s="41"/>
      <c r="O57" s="26"/>
      <c r="P57" s="26"/>
      <c r="Q57" s="11"/>
      <c r="R57" s="26"/>
      <c r="S57" s="26"/>
      <c r="T57" s="41"/>
      <c r="U57" s="26"/>
      <c r="V57" s="26"/>
      <c r="X57" s="26"/>
      <c r="Y57" s="26"/>
      <c r="Z57" s="41"/>
      <c r="AA57" s="26"/>
      <c r="AB57" s="26"/>
    </row>
    <row r="58" spans="1:30" ht="4.5" customHeight="1" thickTop="1" x14ac:dyDescent="0.3">
      <c r="B58" s="47"/>
      <c r="C58" s="11"/>
      <c r="D58" s="48"/>
      <c r="F58" s="11"/>
      <c r="G58" s="11"/>
      <c r="H58" s="48"/>
      <c r="I58" s="11"/>
      <c r="J58" s="11"/>
      <c r="K58" s="11"/>
      <c r="L58" s="11"/>
      <c r="M58" s="11"/>
      <c r="N58" s="48"/>
      <c r="O58" s="11"/>
      <c r="P58" s="11"/>
      <c r="R58" s="11"/>
      <c r="S58" s="11"/>
      <c r="T58" s="48"/>
      <c r="U58" s="11"/>
      <c r="V58" s="11"/>
      <c r="X58" s="11"/>
      <c r="Y58" s="11"/>
      <c r="Z58" s="48"/>
      <c r="AA58" s="11"/>
      <c r="AB58" s="11"/>
    </row>
    <row r="59" spans="1:30" ht="15.6" x14ac:dyDescent="0.3">
      <c r="B59" s="47"/>
      <c r="C59" s="11"/>
      <c r="F59" s="31" t="str">
        <f>+F7</f>
        <v>1Q 2021</v>
      </c>
      <c r="G59" s="31" t="str">
        <f>+G7</f>
        <v>2Q 2021</v>
      </c>
      <c r="H59" s="31" t="str">
        <f>+H7</f>
        <v>3Q 2021</v>
      </c>
      <c r="I59" s="31" t="str">
        <f>+I7</f>
        <v>4Q 2021</v>
      </c>
      <c r="J59" s="31" t="str">
        <f>+J7</f>
        <v>Total</v>
      </c>
      <c r="K59" s="82"/>
      <c r="L59" s="31" t="str">
        <f>+L7</f>
        <v>1Q 2022</v>
      </c>
      <c r="M59" s="31" t="str">
        <f>+M7</f>
        <v>2Q 2022</v>
      </c>
      <c r="N59" s="31" t="str">
        <f>+N7</f>
        <v>3Q 2022</v>
      </c>
      <c r="O59" s="31" t="str">
        <f>+O7</f>
        <v>4Q 2022</v>
      </c>
      <c r="P59" s="31" t="str">
        <f>+P7</f>
        <v>Total</v>
      </c>
      <c r="R59" s="31" t="str">
        <f>+R7</f>
        <v>1Q 2023</v>
      </c>
      <c r="S59" s="31" t="str">
        <f>+S7</f>
        <v>2Q 2023</v>
      </c>
      <c r="T59" s="31" t="str">
        <f>+T7</f>
        <v>3Q 2023</v>
      </c>
      <c r="U59" s="31" t="str">
        <f>+U7</f>
        <v>4Q 2023</v>
      </c>
      <c r="V59" s="31" t="str">
        <f>+V7</f>
        <v>Total</v>
      </c>
      <c r="X59" s="31" t="str">
        <f>+X7</f>
        <v>1Q 2024</v>
      </c>
      <c r="Y59" s="31" t="str">
        <f>+Y7</f>
        <v>2Q 2024</v>
      </c>
      <c r="Z59" s="31" t="str">
        <f>+Z7</f>
        <v>3Q 2024</v>
      </c>
      <c r="AA59" s="31" t="str">
        <f>+AA7</f>
        <v>4Q 2024</v>
      </c>
      <c r="AB59" s="31" t="str">
        <f>+AB7</f>
        <v>Total</v>
      </c>
    </row>
    <row r="60" spans="1:30" x14ac:dyDescent="0.25">
      <c r="A60" t="s">
        <v>20</v>
      </c>
      <c r="B60" s="1" t="s">
        <v>44</v>
      </c>
      <c r="C60" s="2"/>
      <c r="H60" s="34"/>
      <c r="N60" s="34"/>
      <c r="T60" s="34"/>
      <c r="Z60" s="34"/>
    </row>
    <row r="61" spans="1:30" x14ac:dyDescent="0.25">
      <c r="B61" s="37" t="s">
        <v>64</v>
      </c>
      <c r="C61" s="7"/>
      <c r="E61" s="7"/>
      <c r="F61" s="43">
        <f>F9/(F116)*1000</f>
        <v>48.273550117331546</v>
      </c>
      <c r="G61" s="43">
        <f>G9/(G116)*1000</f>
        <v>52.263284495954515</v>
      </c>
      <c r="H61" s="43">
        <f>H9/(H116)*1000</f>
        <v>58.603757472245945</v>
      </c>
      <c r="I61" s="43">
        <f>ROUND(I9/(I116)*1000,2)</f>
        <v>66.19</v>
      </c>
      <c r="J61" s="43">
        <f>J9/(J116)*1000</f>
        <v>56.320985617248304</v>
      </c>
      <c r="K61" s="43"/>
      <c r="L61" s="43">
        <f>L9/(L116)*1000+0.01</f>
        <v>78.92430007539582</v>
      </c>
      <c r="M61" s="43">
        <f>M9/(M116)*1000</f>
        <v>86.631274131274125</v>
      </c>
      <c r="N61" s="43">
        <f>N9/(N116)*1000</f>
        <v>80.292832683906013</v>
      </c>
      <c r="O61" s="43">
        <f>ROUND(O9/(O116)*1000,2)</f>
        <v>73.97</v>
      </c>
      <c r="P61" s="43">
        <f>P9/(P116)*1000</f>
        <v>79.954018120490673</v>
      </c>
      <c r="R61" s="43">
        <f>R9/(R116)*1000</f>
        <v>88.974614235938276</v>
      </c>
      <c r="S61" s="43">
        <f>S9/(S116)*1000</f>
        <v>56.988629047371958</v>
      </c>
      <c r="T61" s="43">
        <f>T9/(T116)*1000</f>
        <v>64.935064935064929</v>
      </c>
      <c r="U61" s="43">
        <f>ROUND(U9/(U116)*1000,2)</f>
        <v>63.59</v>
      </c>
      <c r="V61" s="43">
        <f>V9/(V116)*1000</f>
        <v>68.786833274441605</v>
      </c>
      <c r="X61" s="43">
        <f>X9/(X116)*1000</f>
        <v>61.830440466221702</v>
      </c>
      <c r="Y61" s="43">
        <f>Y9/(Y116)*1000</f>
        <v>59.962159802066658</v>
      </c>
      <c r="Z61" s="43">
        <f>Z9/(Z116)*1000</f>
        <v>65.344749887336647</v>
      </c>
      <c r="AA61" s="43">
        <f>ROUND(AA9/(AA116)*1000,2)</f>
        <v>0</v>
      </c>
      <c r="AB61" s="43">
        <f>AB9/(AB116)*1000</f>
        <v>63.082222460065843</v>
      </c>
    </row>
    <row r="62" spans="1:30" x14ac:dyDescent="0.25">
      <c r="B62" s="37" t="s">
        <v>58</v>
      </c>
      <c r="C62" s="7"/>
      <c r="E62" s="7"/>
      <c r="F62" s="61">
        <f t="shared" ref="F62:J64" si="42">F10/(F$116)*1000</f>
        <v>-23.80154207173986</v>
      </c>
      <c r="G62" s="61">
        <f t="shared" si="42"/>
        <v>-28.974415044828341</v>
      </c>
      <c r="H62" s="61">
        <f t="shared" si="42"/>
        <v>-13.34329632792485</v>
      </c>
      <c r="I62" s="61">
        <f t="shared" si="42"/>
        <v>-8.2031688953815038</v>
      </c>
      <c r="J62" s="61">
        <f t="shared" si="42"/>
        <v>-18.590325330693286</v>
      </c>
      <c r="K62" s="61"/>
      <c r="L62" s="61">
        <f t="shared" ref="L62:P63" si="43">L10/(L$116)*1000</f>
        <v>-70.620758984669521</v>
      </c>
      <c r="M62" s="61">
        <f t="shared" si="43"/>
        <v>-12.065637065637066</v>
      </c>
      <c r="N62" s="61">
        <f t="shared" si="43"/>
        <v>28.692879914984058</v>
      </c>
      <c r="O62" s="61">
        <f t="shared" si="43"/>
        <v>-15.824491997842115</v>
      </c>
      <c r="P62" s="61">
        <f t="shared" si="43"/>
        <v>-16.668431322130292</v>
      </c>
      <c r="R62" s="61">
        <f t="shared" ref="R62:V64" si="44">R10/(R$116)*1000</f>
        <v>5.2264808362369344</v>
      </c>
      <c r="S62" s="61">
        <f t="shared" si="44"/>
        <v>3.9522315446723275</v>
      </c>
      <c r="T62" s="61">
        <f t="shared" si="44"/>
        <v>-25.974025974025977</v>
      </c>
      <c r="U62" s="61">
        <f t="shared" si="44"/>
        <v>15.668202764976959</v>
      </c>
      <c r="V62" s="61">
        <f t="shared" si="44"/>
        <v>-0.38303573053053325</v>
      </c>
      <c r="X62" s="61">
        <f t="shared" ref="X62:AB62" si="45">X10/(X$116)*1000</f>
        <v>-10.233009960610119</v>
      </c>
      <c r="Y62" s="61">
        <f t="shared" si="45"/>
        <v>0.7276961141027507</v>
      </c>
      <c r="Z62" s="61">
        <f t="shared" si="45"/>
        <v>26.738771218266486</v>
      </c>
      <c r="AA62" s="61">
        <f t="shared" si="45"/>
        <v>0</v>
      </c>
      <c r="AB62" s="61">
        <f t="shared" si="45"/>
        <v>10.691902111875565</v>
      </c>
    </row>
    <row r="63" spans="1:30" x14ac:dyDescent="0.25">
      <c r="B63" s="37" t="s">
        <v>88</v>
      </c>
      <c r="C63" s="7"/>
      <c r="E63" s="7"/>
      <c r="F63" s="61">
        <f t="shared" si="42"/>
        <v>10.95094423957984</v>
      </c>
      <c r="G63" s="61">
        <f t="shared" si="42"/>
        <v>5.2481959326481524</v>
      </c>
      <c r="H63" s="61">
        <f t="shared" si="42"/>
        <v>10.140905209222886</v>
      </c>
      <c r="I63" s="61">
        <f t="shared" si="42"/>
        <v>7.9784245420833795</v>
      </c>
      <c r="J63" s="61">
        <f t="shared" si="42"/>
        <v>8.5801501526276702</v>
      </c>
      <c r="K63" s="61"/>
      <c r="L63" s="61">
        <f t="shared" si="43"/>
        <v>6.2829856747926618</v>
      </c>
      <c r="M63" s="61">
        <f t="shared" si="43"/>
        <v>9.0492277992277987</v>
      </c>
      <c r="N63" s="61">
        <f t="shared" si="43"/>
        <v>12.870468768449641</v>
      </c>
      <c r="O63" s="61">
        <f t="shared" si="43"/>
        <v>11.62860396811125</v>
      </c>
      <c r="P63" s="61">
        <f t="shared" si="43"/>
        <v>10.013159287885893</v>
      </c>
      <c r="R63" s="61">
        <f t="shared" si="44"/>
        <v>23.270283723245395</v>
      </c>
      <c r="S63" s="61">
        <f t="shared" si="44"/>
        <v>9.1793764908518583</v>
      </c>
      <c r="T63" s="61">
        <f t="shared" si="44"/>
        <v>9.8039215686274517</v>
      </c>
      <c r="U63" s="61">
        <f t="shared" si="44"/>
        <v>9.3482554312047395</v>
      </c>
      <c r="V63" s="61">
        <f t="shared" si="44"/>
        <v>12.991295193827252</v>
      </c>
      <c r="X63" s="61">
        <f t="shared" ref="X63:AB63" si="46">X11/(X$116)*1000</f>
        <v>10.665390663171108</v>
      </c>
      <c r="Y63" s="61">
        <f t="shared" si="46"/>
        <v>7.4225003638480569</v>
      </c>
      <c r="Z63" s="61">
        <f t="shared" si="46"/>
        <v>3.8305543037404237</v>
      </c>
      <c r="AA63" s="61">
        <f t="shared" si="46"/>
        <v>0</v>
      </c>
      <c r="AB63" s="61">
        <f t="shared" si="46"/>
        <v>6.4888785230693085</v>
      </c>
    </row>
    <row r="64" spans="1:30" x14ac:dyDescent="0.25">
      <c r="B64" s="37" t="s">
        <v>45</v>
      </c>
      <c r="C64" s="7"/>
      <c r="E64" s="83"/>
      <c r="F64" s="61">
        <f t="shared" si="42"/>
        <v>3.6875628561850489</v>
      </c>
      <c r="G64" s="61">
        <f t="shared" si="42"/>
        <v>3.6081347036956046</v>
      </c>
      <c r="H64" s="61">
        <f t="shared" si="42"/>
        <v>6.9385140905209219</v>
      </c>
      <c r="I64" s="61">
        <f t="shared" si="42"/>
        <v>4.60725924261153</v>
      </c>
      <c r="J64" s="61">
        <f t="shared" si="42"/>
        <v>4.7300827764485875</v>
      </c>
      <c r="K64" s="61"/>
      <c r="L64" s="61">
        <f>L12/(L$116)*1000</f>
        <v>4.2724302588590097</v>
      </c>
      <c r="M64" s="61">
        <f>M12/(M$116)*1000</f>
        <v>5.9121621621621623</v>
      </c>
      <c r="N64" s="61">
        <f>N12/(N$116)*1000+0.01</f>
        <v>10.400837170858425</v>
      </c>
      <c r="O64" s="61">
        <f>O12/(O$116)*1000</f>
        <v>10.789426362165079</v>
      </c>
      <c r="P64" s="61">
        <f>P12/(P$116)*1000</f>
        <v>7.8955727315354016</v>
      </c>
      <c r="R64" s="61">
        <f t="shared" si="44"/>
        <v>8.4619213539074156</v>
      </c>
      <c r="S64" s="61">
        <f t="shared" si="44"/>
        <v>4.334705565124489</v>
      </c>
      <c r="T64" s="61">
        <f t="shared" si="44"/>
        <v>8.5306850012732358</v>
      </c>
      <c r="U64" s="61">
        <f t="shared" si="44"/>
        <v>5.5299539170506913</v>
      </c>
      <c r="V64" s="61">
        <f t="shared" si="44"/>
        <v>6.7350449284952099</v>
      </c>
      <c r="X64" s="61">
        <f t="shared" ref="X64:AB64" si="47">X12/(X$116)*1000</f>
        <v>2.1619035128049546</v>
      </c>
      <c r="Y64" s="61">
        <f t="shared" si="47"/>
        <v>5.2394120215398052</v>
      </c>
      <c r="Z64" s="61">
        <f t="shared" si="47"/>
        <v>5.1825146462370437</v>
      </c>
      <c r="AA64" s="61">
        <f t="shared" si="47"/>
        <v>0</v>
      </c>
      <c r="AB64" s="61">
        <f t="shared" si="47"/>
        <v>4.4242353566381647</v>
      </c>
    </row>
    <row r="65" spans="2:28" x14ac:dyDescent="0.25">
      <c r="B65" s="37" t="s">
        <v>90</v>
      </c>
      <c r="C65" s="7"/>
      <c r="E65" s="83"/>
      <c r="F65" s="45">
        <f>F13/(F116)*1000</f>
        <v>1.4526762766789585</v>
      </c>
      <c r="G65" s="45">
        <f>G13/(G116)*1000</f>
        <v>1.0933741526350316</v>
      </c>
      <c r="H65" s="45">
        <f>H13/(H116)*1000</f>
        <v>0.42698548249359519</v>
      </c>
      <c r="I65" s="45">
        <f>I13/(I116)*1000</f>
        <v>0.67423305989437021</v>
      </c>
      <c r="J65" s="45">
        <f>J13/(J116)*1000</f>
        <v>0.90751588152792673</v>
      </c>
      <c r="K65" s="44"/>
      <c r="L65" s="45">
        <f>L13/(L116)*1000</f>
        <v>0.37697914048755971</v>
      </c>
      <c r="M65" s="45">
        <f>M13/(M116)*1000</f>
        <v>0.60328185328185324</v>
      </c>
      <c r="N65" s="45">
        <f>N13/(N116)*1000</f>
        <v>0.59038847561695595</v>
      </c>
      <c r="O65" s="45">
        <f>O13/(O116)*1000</f>
        <v>1.1988251513516752</v>
      </c>
      <c r="P65" s="45">
        <f>P13/(P116)*1000</f>
        <v>0.69577843994373267</v>
      </c>
      <c r="R65" s="45">
        <f>R13/(R116)*1000</f>
        <v>1.4932802389248383</v>
      </c>
      <c r="S65" s="45">
        <f>S13/(S116)*1000</f>
        <v>0.89243938105504184</v>
      </c>
      <c r="T65" s="45">
        <f>T13/(T116)*1000</f>
        <v>1.2732365673542145</v>
      </c>
      <c r="U65" s="45">
        <f>U13/(U116)*1000</f>
        <v>1.4483212639894669</v>
      </c>
      <c r="V65" s="45">
        <f>V13/(V116)*1000</f>
        <v>1.2767857684351107</v>
      </c>
      <c r="X65" s="45">
        <f>X13/(X116)*1000</f>
        <v>1.0088883059756455</v>
      </c>
      <c r="Y65" s="45">
        <f>Y13/(Y116)*1000</f>
        <v>1.4553922282055014</v>
      </c>
      <c r="Z65" s="45">
        <f>Z13/(Z116)*1000</f>
        <v>0.52576235541535221</v>
      </c>
      <c r="AA65" s="45">
        <f>AA13/(AA116)*1000</f>
        <v>0</v>
      </c>
      <c r="AB65" s="45">
        <f>AB13/(AB116)*1000</f>
        <v>0.88484707132763296</v>
      </c>
    </row>
    <row r="66" spans="2:28" x14ac:dyDescent="0.25">
      <c r="B66" s="6" t="s">
        <v>78</v>
      </c>
      <c r="C66" s="7"/>
      <c r="E66" s="83"/>
      <c r="F66" s="44">
        <f>SUM(F61:F65)</f>
        <v>40.56319141803553</v>
      </c>
      <c r="G66" s="44">
        <f>SUM(G61:G65)</f>
        <v>33.23857424010496</v>
      </c>
      <c r="H66" s="52">
        <f>SUM(H61:H65)</f>
        <v>62.766865926558495</v>
      </c>
      <c r="I66" s="52">
        <f>SUM(I61:I65)</f>
        <v>71.246747949207787</v>
      </c>
      <c r="J66" s="52">
        <f>SUM(J61:J65)</f>
        <v>51.948409097159207</v>
      </c>
      <c r="K66" s="52"/>
      <c r="L66" s="44">
        <f>SUM(L61:L65)-0.01</f>
        <v>19.22593616486553</v>
      </c>
      <c r="M66" s="44">
        <f>SUM(M61:M65)-0.01</f>
        <v>90.120308880308869</v>
      </c>
      <c r="N66" s="52">
        <f>SUM(N61:N65)-0.01</f>
        <v>132.8374070138151</v>
      </c>
      <c r="O66" s="52">
        <f>SUM(O61:O65)</f>
        <v>81.762363483785876</v>
      </c>
      <c r="P66" s="52">
        <f>SUM(P61:P65)</f>
        <v>81.890097257725415</v>
      </c>
      <c r="Q66" s="52"/>
      <c r="R66" s="44">
        <f>SUM(R61:R65)</f>
        <v>127.42658038825286</v>
      </c>
      <c r="S66" s="44">
        <f>SUM(S61:S65)</f>
        <v>75.347382029075689</v>
      </c>
      <c r="T66" s="52">
        <f>SUM(T61:T65)+0.01</f>
        <v>58.578882098293853</v>
      </c>
      <c r="U66" s="52">
        <f>SUM(U61:U65)</f>
        <v>95.584733377221852</v>
      </c>
      <c r="V66" s="52">
        <f>SUM(V61:V65)</f>
        <v>89.406923434668641</v>
      </c>
      <c r="W66" s="52"/>
      <c r="X66" s="44">
        <f>SUM(X61:X65)</f>
        <v>65.433612987563293</v>
      </c>
      <c r="Y66" s="44">
        <f>SUM(Y61:Y65)</f>
        <v>74.807160529762768</v>
      </c>
      <c r="Z66" s="52">
        <f>SUM(Z61:Z65)</f>
        <v>101.62235241099594</v>
      </c>
      <c r="AA66" s="52">
        <f>SUM(AA61:AA65)</f>
        <v>0</v>
      </c>
      <c r="AB66" s="52">
        <f>SUM(AB61:AB65)</f>
        <v>85.572085522976508</v>
      </c>
    </row>
    <row r="67" spans="2:28" ht="11.55" customHeight="1" x14ac:dyDescent="0.25">
      <c r="B67" s="6"/>
      <c r="C67" s="7"/>
      <c r="E67" s="83"/>
      <c r="F67" s="32"/>
      <c r="G67" s="32"/>
      <c r="H67" s="60"/>
      <c r="I67" s="60"/>
      <c r="J67" s="60"/>
      <c r="K67" s="60"/>
      <c r="L67" s="32"/>
      <c r="M67" s="32"/>
      <c r="N67" s="60"/>
      <c r="O67" s="60"/>
      <c r="P67" s="60"/>
      <c r="R67" s="32"/>
      <c r="S67" s="32"/>
      <c r="T67" s="60"/>
      <c r="U67" s="60"/>
      <c r="V67" s="60"/>
      <c r="X67" s="32"/>
      <c r="Y67" s="32"/>
      <c r="Z67" s="60"/>
      <c r="AA67" s="60"/>
      <c r="AB67" s="60"/>
    </row>
    <row r="68" spans="2:28" x14ac:dyDescent="0.25">
      <c r="B68" s="1" t="s">
        <v>53</v>
      </c>
      <c r="C68" s="7"/>
      <c r="E68" s="83"/>
      <c r="F68" s="32"/>
      <c r="G68" s="32"/>
      <c r="H68" s="60"/>
      <c r="I68" s="60"/>
      <c r="J68" s="60"/>
      <c r="K68" s="60"/>
      <c r="L68" s="32"/>
      <c r="M68" s="32"/>
      <c r="N68" s="60"/>
      <c r="O68" s="60"/>
      <c r="P68" s="60"/>
      <c r="R68" s="32"/>
      <c r="S68" s="32"/>
      <c r="T68" s="60"/>
      <c r="U68" s="60"/>
      <c r="V68" s="60"/>
      <c r="X68" s="32"/>
      <c r="Y68" s="32"/>
      <c r="Z68" s="60"/>
      <c r="AA68" s="60"/>
      <c r="AB68" s="60"/>
    </row>
    <row r="69" spans="2:28" x14ac:dyDescent="0.25">
      <c r="B69" s="37" t="s">
        <v>50</v>
      </c>
      <c r="C69" s="7"/>
      <c r="E69" s="83"/>
      <c r="F69" s="44">
        <f>F17/(F116)*1000</f>
        <v>18.32606995194994</v>
      </c>
      <c r="G69" s="44">
        <f>G17/(G116)*1000</f>
        <v>18.478023179532034</v>
      </c>
      <c r="H69" s="52">
        <f>H17/(H116)*1000</f>
        <v>20.281810418445772</v>
      </c>
      <c r="I69" s="52">
        <f>I17/(I116)*1000</f>
        <v>20.451736150129225</v>
      </c>
      <c r="J69" s="52">
        <f>J17/(J116)*1000</f>
        <v>19.387839287187525</v>
      </c>
      <c r="K69" s="52"/>
      <c r="L69" s="44">
        <f>L17/(L116)*1000</f>
        <v>22.870067856245289</v>
      </c>
      <c r="M69" s="44">
        <f>M17/(M116)*1000</f>
        <v>22.924710424710423</v>
      </c>
      <c r="N69" s="52">
        <f>N17/(N116)*1000</f>
        <v>25.268626756405716</v>
      </c>
      <c r="O69" s="52">
        <f>O17/(O116)*1000</f>
        <v>23.856620511898338</v>
      </c>
      <c r="P69" s="52">
        <f>P17/(P116)*1000</f>
        <v>23.74722066764479</v>
      </c>
      <c r="R69" s="44">
        <f>R17/(R116)*1000</f>
        <v>31.607765057242407</v>
      </c>
      <c r="S69" s="44">
        <f>S17/(S116)*1000</f>
        <v>23.713389268033968</v>
      </c>
      <c r="T69" s="52">
        <f>T17/(T116)*1000</f>
        <v>24.955436720142604</v>
      </c>
      <c r="U69" s="52">
        <f>U17/(U116)*1000</f>
        <v>24.489795918367346</v>
      </c>
      <c r="V69" s="52">
        <f>V17/(V116)*1000</f>
        <v>26.23794754134153</v>
      </c>
      <c r="X69" s="44">
        <f>X17/(X116)*1000</f>
        <v>25.366334550244797</v>
      </c>
      <c r="Y69" s="44">
        <f>Y17/(Y116)*1000</f>
        <v>22.704118760005819</v>
      </c>
      <c r="Z69" s="52">
        <f>Z17/(Z116)*1000</f>
        <v>23.358870362024934</v>
      </c>
      <c r="AA69" s="52">
        <f>AA17/(AA116)*1000</f>
        <v>0</v>
      </c>
      <c r="AB69" s="52">
        <f>AB17/(AB116)*1000</f>
        <v>23.706527785986168</v>
      </c>
    </row>
    <row r="70" spans="2:28" x14ac:dyDescent="0.25">
      <c r="B70" s="37" t="s">
        <v>72</v>
      </c>
      <c r="C70" s="7"/>
      <c r="E70" s="83"/>
      <c r="F70" s="44">
        <f>F18/(F116)*1000</f>
        <v>5.3637277908146164</v>
      </c>
      <c r="G70" s="44">
        <f>G18/(G116)*1000</f>
        <v>5.2481959326481524</v>
      </c>
      <c r="H70" s="52">
        <f>H18/(H116)*1000</f>
        <v>5.4440649017933387</v>
      </c>
      <c r="I70" s="52">
        <f>I18/(I116)*1000</f>
        <v>5.95572536240027</v>
      </c>
      <c r="J70" s="52">
        <f>J18/(J116)*1000</f>
        <v>5.500096251684405</v>
      </c>
      <c r="K70" s="52"/>
      <c r="L70" s="44">
        <f>L18/(L116)*1000</f>
        <v>6.0316662478009553</v>
      </c>
      <c r="M70" s="44">
        <f>M18/(M116)*1000</f>
        <v>6.756756756756757</v>
      </c>
      <c r="N70" s="52">
        <f>N18/(N116)*1000</f>
        <v>6.9665840122800802</v>
      </c>
      <c r="O70" s="52">
        <f>O18/(O116)*1000</f>
        <v>7.0730683929748848</v>
      </c>
      <c r="P70" s="52">
        <f>P18/(P116)*1000</f>
        <v>6.7157745072829851</v>
      </c>
      <c r="R70" s="44">
        <f>R18/(R116)*1000</f>
        <v>8.0886012941762075</v>
      </c>
      <c r="S70" s="44">
        <f>S18/(S116)*1000</f>
        <v>9.0518851507011373</v>
      </c>
      <c r="T70" s="52">
        <f>T18/(T116)*1000</f>
        <v>8.2760376878023934</v>
      </c>
      <c r="U70" s="52">
        <f>U18/(U116)*1000</f>
        <v>8.6899275839368002</v>
      </c>
      <c r="V70" s="52">
        <f>V18/(V116)*1000</f>
        <v>8.5225450043043658</v>
      </c>
      <c r="X70" s="44">
        <f>X18/(X116)*1000</f>
        <v>8.2152333486588258</v>
      </c>
      <c r="Y70" s="44">
        <f>Y18/(Y116)*1000</f>
        <v>9.1689710376946572</v>
      </c>
      <c r="Z70" s="52">
        <f>Z18/(Z116)*1000</f>
        <v>7.9615442391467628</v>
      </c>
      <c r="AA70" s="52">
        <f>AA18/(AA116)*1000</f>
        <v>0</v>
      </c>
      <c r="AB70" s="52">
        <f>AB18/(AB116)*1000</f>
        <v>8.3323099216685428</v>
      </c>
    </row>
    <row r="71" spans="2:28" x14ac:dyDescent="0.25">
      <c r="B71" s="37" t="s">
        <v>21</v>
      </c>
      <c r="C71" s="7"/>
      <c r="E71" s="83"/>
      <c r="F71" s="44">
        <f>F19/(F116)*1000</f>
        <v>5.810705106715834</v>
      </c>
      <c r="G71" s="44">
        <f>G19/(G116)*1000</f>
        <v>5.9042204242291705</v>
      </c>
      <c r="H71" s="52">
        <f>H19/(H116)*1000</f>
        <v>5.7643040136635353</v>
      </c>
      <c r="I71" s="52">
        <f>I19/(I116)*1000</f>
        <v>5.95572536240027</v>
      </c>
      <c r="J71" s="52">
        <f>J19/(J116)*1000-0.01</f>
        <v>5.8476025080438907</v>
      </c>
      <c r="K71" s="52"/>
      <c r="L71" s="44">
        <f>L19/(L116)*1000</f>
        <v>6.1573259612968085</v>
      </c>
      <c r="M71" s="44">
        <f>M19/(M116)*1000</f>
        <v>6.0328185328185331</v>
      </c>
      <c r="N71" s="52">
        <f>N19/(N116)*1000</f>
        <v>5.9038847561695604</v>
      </c>
      <c r="O71" s="52">
        <f>O19/(O116)*1000</f>
        <v>5.8742432416232093</v>
      </c>
      <c r="P71" s="52">
        <f>P19/(P116)*1000</f>
        <v>5.9897448308199595</v>
      </c>
      <c r="R71" s="44">
        <f>R19/(R116)*1000</f>
        <v>7.2175211548033849</v>
      </c>
      <c r="S71" s="44">
        <f>S19/(S116)*1000</f>
        <v>7.1395150484403347</v>
      </c>
      <c r="T71" s="52">
        <f>T19/(T116)*1000</f>
        <v>7.1301247771836005</v>
      </c>
      <c r="U71" s="52">
        <f>U19/(U116)*1000</f>
        <v>7.2416063199473335</v>
      </c>
      <c r="V71" s="52">
        <f>V19/(V116)*1000</f>
        <v>7.181919947447498</v>
      </c>
      <c r="X71" s="44">
        <f>X19/(X116)*1000</f>
        <v>7.638725745244173</v>
      </c>
      <c r="Y71" s="44">
        <f>Y19/(Y116)*1000</f>
        <v>7.7135788094891575</v>
      </c>
      <c r="Z71" s="52">
        <f>Z19/(Z116)*1000</f>
        <v>10.515247108307046</v>
      </c>
      <c r="AA71" s="52">
        <f>AA19/(AA116)*1000</f>
        <v>0</v>
      </c>
      <c r="AB71" s="52">
        <f>AB19/(AB116)*1000</f>
        <v>9.0696824811082379</v>
      </c>
    </row>
    <row r="72" spans="2:28" x14ac:dyDescent="0.25">
      <c r="B72" s="37" t="s">
        <v>22</v>
      </c>
      <c r="C72" s="7"/>
      <c r="E72" s="83"/>
      <c r="F72" s="44">
        <f>F20/(F116)*1000</f>
        <v>0.33523298692591352</v>
      </c>
      <c r="G72" s="44">
        <f>G20/(G116)*1000</f>
        <v>0</v>
      </c>
      <c r="H72" s="44">
        <f>H20/(H116)*1000</f>
        <v>2.6686592655849699</v>
      </c>
      <c r="I72" s="44">
        <f>I20/(I116)*1000</f>
        <v>0</v>
      </c>
      <c r="J72" s="44">
        <f>J20/(J116)*1000</f>
        <v>0.77001347523581654</v>
      </c>
      <c r="K72" s="44"/>
      <c r="L72" s="44">
        <f>L20/(L116)*1000</f>
        <v>0</v>
      </c>
      <c r="M72" s="44">
        <f>M20/(M116)*1000</f>
        <v>0.24131274131274133</v>
      </c>
      <c r="N72" s="44">
        <f>N20/(N116)*1000</f>
        <v>0</v>
      </c>
      <c r="O72" s="44">
        <f>O20/(O116)*1000</f>
        <v>0</v>
      </c>
      <c r="P72" s="44">
        <f>P20/(P116)*1000</f>
        <v>6.0502473038585455E-2</v>
      </c>
      <c r="R72" s="44">
        <f>R20/(R116)*1000</f>
        <v>0.37332005973120957</v>
      </c>
      <c r="S72" s="44">
        <f>S20/(S116)*1000</f>
        <v>0</v>
      </c>
      <c r="T72" s="44">
        <f>T20/(T116)*1000</f>
        <v>0</v>
      </c>
      <c r="U72" s="44">
        <f>U20/(U116)*1000</f>
        <v>0</v>
      </c>
      <c r="V72" s="44">
        <f>V20/(V116)*1000</f>
        <v>9.5758932632633312E-2</v>
      </c>
      <c r="X72" s="44">
        <f>X20/(X116)*1000</f>
        <v>0</v>
      </c>
      <c r="Y72" s="44">
        <f>Y20/(Y116)*1000</f>
        <v>1.8920098966671519</v>
      </c>
      <c r="Z72" s="44">
        <f>Z20/(Z116)*1000</f>
        <v>0</v>
      </c>
      <c r="AA72" s="44">
        <f>AA20/(AA116)*1000</f>
        <v>0</v>
      </c>
      <c r="AB72" s="44">
        <f>AB20/(AB116)*1000</f>
        <v>0.47929216363580118</v>
      </c>
    </row>
    <row r="73" spans="2:28" x14ac:dyDescent="0.25">
      <c r="B73" s="37" t="s">
        <v>23</v>
      </c>
      <c r="C73" s="7"/>
      <c r="E73" s="83"/>
      <c r="F73" s="44">
        <f>F21/(F116)*1000</f>
        <v>4.4697731590121803</v>
      </c>
      <c r="G73" s="44">
        <f>G21/(G116)*1000</f>
        <v>4.0454843647496173</v>
      </c>
      <c r="H73" s="52">
        <f>H21/(H116)*1000</f>
        <v>3.842869342442357</v>
      </c>
      <c r="I73" s="52">
        <f>I21/(I116)*1000+0.01</f>
        <v>3.6059096527699741</v>
      </c>
      <c r="J73" s="52">
        <f>J21/(J116)*1000+0.01</f>
        <v>3.9975697824711935</v>
      </c>
      <c r="K73" s="52"/>
      <c r="L73" s="44">
        <f>L21/(L116)*1000+0.01</f>
        <v>4.2824302588590095</v>
      </c>
      <c r="M73" s="44">
        <f>M21/(M116)*1000</f>
        <v>5.0675675675675675</v>
      </c>
      <c r="N73" s="52">
        <f>N21/(N116)*1000</f>
        <v>5.1954185854292128</v>
      </c>
      <c r="O73" s="52">
        <f>O21/(O116)*1000</f>
        <v>5.0350656356770358</v>
      </c>
      <c r="P73" s="52">
        <f>P21/(P116)*1000</f>
        <v>4.9007003161254215</v>
      </c>
      <c r="R73" s="44">
        <f>R21/(R116)*1000</f>
        <v>5.2264808362369344</v>
      </c>
      <c r="S73" s="44">
        <f>S21/(S116)*1000</f>
        <v>5.3546362863302503</v>
      </c>
      <c r="T73" s="52">
        <f>T21/(T116)*1000</f>
        <v>6.1115355233002289</v>
      </c>
      <c r="U73" s="52">
        <f>U21/(U116)*1000</f>
        <v>4.3449637919684001</v>
      </c>
      <c r="V73" s="52">
        <f>V21/(V116)*1000</f>
        <v>5.2667412947948318</v>
      </c>
      <c r="X73" s="44">
        <f>X21/(X116)*1000</f>
        <v>5.4768222324392184</v>
      </c>
      <c r="Y73" s="44">
        <f>Y21/(Y116)*1000</f>
        <v>5.6760296900014549</v>
      </c>
      <c r="Z73" s="52">
        <f>Z21/(Z116)*1000</f>
        <v>6.384257172900706</v>
      </c>
      <c r="AA73" s="52">
        <f>AA21/(AA116)*1000</f>
        <v>0</v>
      </c>
      <c r="AB73" s="52">
        <f>AB21/(AB116)*1000</f>
        <v>5.9727177314615219</v>
      </c>
    </row>
    <row r="74" spans="2:28" x14ac:dyDescent="0.25">
      <c r="B74" s="37" t="s">
        <v>24</v>
      </c>
      <c r="C74" s="7"/>
      <c r="E74" s="83"/>
      <c r="F74" s="44">
        <f t="shared" ref="F74:J78" si="48">F22/(F$116)*1000</f>
        <v>0.22348865795060902</v>
      </c>
      <c r="G74" s="44">
        <f t="shared" si="48"/>
        <v>0.21867483052700634</v>
      </c>
      <c r="H74" s="52">
        <f t="shared" si="48"/>
        <v>0.2134927412467976</v>
      </c>
      <c r="I74" s="52">
        <f t="shared" si="48"/>
        <v>0.1123721766490617</v>
      </c>
      <c r="J74" s="52">
        <f t="shared" si="48"/>
        <v>0.19250336880895413</v>
      </c>
      <c r="K74" s="52"/>
      <c r="L74" s="44">
        <f t="shared" ref="L74:P79" si="49">L22/(L$116)*1000</f>
        <v>0.12565971349585323</v>
      </c>
      <c r="M74" s="44">
        <f t="shared" si="49"/>
        <v>0.12065637065637067</v>
      </c>
      <c r="N74" s="52">
        <f t="shared" si="49"/>
        <v>0.1180776951233912</v>
      </c>
      <c r="O74" s="52">
        <f t="shared" si="49"/>
        <v>0.11988251513516752</v>
      </c>
      <c r="P74" s="52">
        <f t="shared" si="49"/>
        <v>0.12100494607717091</v>
      </c>
      <c r="R74" s="44">
        <f t="shared" ref="R74:V79" si="50">R22/(R$116)*1000</f>
        <v>0.12444001991040318</v>
      </c>
      <c r="S74" s="44">
        <f t="shared" si="50"/>
        <v>0.12749134015072025</v>
      </c>
      <c r="T74" s="52">
        <f t="shared" si="50"/>
        <v>0</v>
      </c>
      <c r="U74" s="52">
        <f t="shared" si="50"/>
        <v>0.13166556945358787</v>
      </c>
      <c r="V74" s="52">
        <f t="shared" si="50"/>
        <v>9.5758932632633312E-2</v>
      </c>
      <c r="X74" s="44">
        <f t="shared" ref="X74:AB74" si="51">X22/(X$116)*1000</f>
        <v>0.14412690085366364</v>
      </c>
      <c r="Y74" s="44">
        <f t="shared" si="51"/>
        <v>0</v>
      </c>
      <c r="Z74" s="52">
        <f t="shared" si="51"/>
        <v>7.5108907916478895E-2</v>
      </c>
      <c r="AA74" s="52">
        <f t="shared" si="51"/>
        <v>0</v>
      </c>
      <c r="AB74" s="52">
        <f t="shared" si="51"/>
        <v>7.3737255943969418E-2</v>
      </c>
    </row>
    <row r="75" spans="2:28" x14ac:dyDescent="0.25">
      <c r="B75" s="37" t="s">
        <v>89</v>
      </c>
      <c r="C75" s="7"/>
      <c r="E75" s="83"/>
      <c r="F75" s="44">
        <f t="shared" si="48"/>
        <v>6.8164040674935746</v>
      </c>
      <c r="G75" s="44">
        <f t="shared" si="48"/>
        <v>3.2801224579050952</v>
      </c>
      <c r="H75" s="52">
        <f t="shared" si="48"/>
        <v>5.6575576430401364</v>
      </c>
      <c r="I75" s="52">
        <f t="shared" si="48"/>
        <v>5.8433531857512078</v>
      </c>
      <c r="J75" s="52">
        <f t="shared" si="48"/>
        <v>5.3900943266507166</v>
      </c>
      <c r="K75" s="52"/>
      <c r="L75" s="44">
        <f t="shared" si="49"/>
        <v>4.6494093993465695</v>
      </c>
      <c r="M75" s="44">
        <f t="shared" si="49"/>
        <v>8.0839768339768341</v>
      </c>
      <c r="N75" s="52">
        <f t="shared" si="49"/>
        <v>11.217381036722164</v>
      </c>
      <c r="O75" s="52">
        <f t="shared" si="49"/>
        <v>10.309896301624409</v>
      </c>
      <c r="P75" s="52">
        <f t="shared" si="49"/>
        <v>8.6216024079984273</v>
      </c>
      <c r="R75" s="44">
        <f t="shared" si="50"/>
        <v>15.430562468889995</v>
      </c>
      <c r="S75" s="44">
        <f t="shared" si="50"/>
        <v>3.4422661840694468</v>
      </c>
      <c r="T75" s="52">
        <f t="shared" si="50"/>
        <v>3.9470333587980648</v>
      </c>
      <c r="U75" s="52">
        <f t="shared" si="50"/>
        <v>5.5299539170506913</v>
      </c>
      <c r="V75" s="52">
        <f t="shared" si="50"/>
        <v>7.1500003032366211</v>
      </c>
      <c r="X75" s="44">
        <f t="shared" ref="X75:AB75" si="52">X23/(X$116)*1000</f>
        <v>7.7828526460978367</v>
      </c>
      <c r="Y75" s="44">
        <f t="shared" si="52"/>
        <v>6.2581865812836552</v>
      </c>
      <c r="Z75" s="52">
        <f t="shared" si="52"/>
        <v>3.2296830404085926</v>
      </c>
      <c r="AA75" s="52">
        <f t="shared" si="52"/>
        <v>0</v>
      </c>
      <c r="AB75" s="52">
        <f t="shared" si="52"/>
        <v>5.161607916077859</v>
      </c>
    </row>
    <row r="76" spans="2:28" x14ac:dyDescent="0.25">
      <c r="B76" s="37" t="s">
        <v>54</v>
      </c>
      <c r="C76" s="7"/>
      <c r="E76" s="83"/>
      <c r="F76" s="44">
        <f t="shared" si="48"/>
        <v>2.6818638954073082</v>
      </c>
      <c r="G76" s="44">
        <f t="shared" si="48"/>
        <v>1.8587360594795539</v>
      </c>
      <c r="H76" s="52">
        <f t="shared" si="48"/>
        <v>3.0956447480785654</v>
      </c>
      <c r="I76" s="52">
        <f t="shared" si="48"/>
        <v>2.9216765928756039</v>
      </c>
      <c r="J76" s="52">
        <f t="shared" si="48"/>
        <v>2.6400462008085142</v>
      </c>
      <c r="K76" s="52"/>
      <c r="L76" s="44">
        <f t="shared" si="49"/>
        <v>3.0158331239004776</v>
      </c>
      <c r="M76" s="44">
        <f t="shared" si="49"/>
        <v>3.9816602316602316</v>
      </c>
      <c r="N76" s="52">
        <f t="shared" si="49"/>
        <v>4.9592631951824302</v>
      </c>
      <c r="O76" s="52">
        <f t="shared" si="49"/>
        <v>8.1520110291913923</v>
      </c>
      <c r="P76" s="52">
        <f t="shared" si="49"/>
        <v>5.0519564987218857</v>
      </c>
      <c r="R76" s="44">
        <f t="shared" si="50"/>
        <v>6.0975609756097562</v>
      </c>
      <c r="S76" s="44">
        <f t="shared" si="50"/>
        <v>1.6573874219593634</v>
      </c>
      <c r="T76" s="52">
        <f t="shared" si="50"/>
        <v>2.9284441049146932</v>
      </c>
      <c r="U76" s="52">
        <f t="shared" si="50"/>
        <v>2.3699802501645819</v>
      </c>
      <c r="V76" s="52">
        <f t="shared" si="50"/>
        <v>3.2877233537204105</v>
      </c>
      <c r="X76" s="44">
        <f t="shared" ref="X76:AB76" si="53">X24/(X$116)*1000</f>
        <v>1.1530152068293091</v>
      </c>
      <c r="Y76" s="44">
        <f t="shared" si="53"/>
        <v>2.0375491194877018</v>
      </c>
      <c r="Z76" s="52">
        <f t="shared" si="53"/>
        <v>0.67598017124831011</v>
      </c>
      <c r="AA76" s="52">
        <f t="shared" si="53"/>
        <v>0</v>
      </c>
      <c r="AB76" s="52">
        <f t="shared" si="53"/>
        <v>1.1429274671315259</v>
      </c>
    </row>
    <row r="77" spans="2:28" x14ac:dyDescent="0.25">
      <c r="B77" s="37" t="s">
        <v>79</v>
      </c>
      <c r="C77" s="7"/>
      <c r="E77" s="83"/>
      <c r="F77" s="44">
        <f t="shared" si="48"/>
        <v>1.3409319477036541</v>
      </c>
      <c r="G77" s="44">
        <f t="shared" si="48"/>
        <v>1.5307238136890444</v>
      </c>
      <c r="H77" s="52">
        <f t="shared" si="48"/>
        <v>1.1742100768573867</v>
      </c>
      <c r="I77" s="52">
        <f t="shared" si="48"/>
        <v>1.5732104730868637</v>
      </c>
      <c r="J77" s="52">
        <f t="shared" si="48"/>
        <v>1.4025245441795231</v>
      </c>
      <c r="K77" s="52"/>
      <c r="L77" s="44">
        <f t="shared" si="49"/>
        <v>1.5079165619502388</v>
      </c>
      <c r="M77" s="44">
        <f t="shared" si="49"/>
        <v>1.4478764478764479</v>
      </c>
      <c r="N77" s="52">
        <f t="shared" si="49"/>
        <v>1.5350100366040855</v>
      </c>
      <c r="O77" s="52">
        <f t="shared" si="49"/>
        <v>1.558472696757178</v>
      </c>
      <c r="P77" s="52">
        <f t="shared" si="49"/>
        <v>1.5125618259646363</v>
      </c>
      <c r="R77" s="44">
        <f t="shared" si="50"/>
        <v>2.1154803384768539</v>
      </c>
      <c r="S77" s="44">
        <f t="shared" si="50"/>
        <v>2.039861442411524</v>
      </c>
      <c r="T77" s="52">
        <f t="shared" si="50"/>
        <v>2.0371785077667428</v>
      </c>
      <c r="U77" s="52">
        <f t="shared" si="50"/>
        <v>2.3699802501645819</v>
      </c>
      <c r="V77" s="52">
        <f t="shared" si="50"/>
        <v>2.1386161621288107</v>
      </c>
      <c r="X77" s="44">
        <f t="shared" ref="X77:AB77" si="54">X25/(X$116)*1000</f>
        <v>2.8825380170732724</v>
      </c>
      <c r="Y77" s="44">
        <f t="shared" si="54"/>
        <v>2.4741667879493523</v>
      </c>
      <c r="Z77" s="52">
        <f t="shared" si="54"/>
        <v>1.7275048820790146</v>
      </c>
      <c r="AA77" s="52">
        <f t="shared" si="54"/>
        <v>0</v>
      </c>
      <c r="AB77" s="52">
        <f t="shared" si="54"/>
        <v>2.2121176783190823</v>
      </c>
    </row>
    <row r="78" spans="2:28" x14ac:dyDescent="0.25">
      <c r="B78" s="37" t="s">
        <v>55</v>
      </c>
      <c r="C78" s="7"/>
      <c r="E78" s="83"/>
      <c r="F78" s="44">
        <f t="shared" si="48"/>
        <v>1.4526762766789585</v>
      </c>
      <c r="G78" s="44">
        <f t="shared" si="48"/>
        <v>1.4213863984255413</v>
      </c>
      <c r="H78" s="52">
        <f t="shared" si="48"/>
        <v>1.3877028181041844</v>
      </c>
      <c r="I78" s="52">
        <f t="shared" si="48"/>
        <v>1.2360939431396785</v>
      </c>
      <c r="J78" s="52">
        <f t="shared" si="48"/>
        <v>1.3750240629211012</v>
      </c>
      <c r="K78" s="52"/>
      <c r="L78" s="44">
        <f t="shared" si="49"/>
        <v>1.3822568484543853</v>
      </c>
      <c r="M78" s="44">
        <f t="shared" si="49"/>
        <v>1.3272200772200771</v>
      </c>
      <c r="N78" s="52">
        <f t="shared" si="49"/>
        <v>1.1807769512339119</v>
      </c>
      <c r="O78" s="52">
        <f t="shared" si="49"/>
        <v>1.3187076664868429</v>
      </c>
      <c r="P78" s="52">
        <f t="shared" si="49"/>
        <v>1.300803170329587</v>
      </c>
      <c r="R78" s="44">
        <f t="shared" si="50"/>
        <v>1.4932802389248383</v>
      </c>
      <c r="S78" s="44">
        <f t="shared" si="50"/>
        <v>1.4024047416579228</v>
      </c>
      <c r="T78" s="52">
        <f t="shared" si="50"/>
        <v>1.5278838808250572</v>
      </c>
      <c r="U78" s="52">
        <f t="shared" si="50"/>
        <v>1.4483212639894669</v>
      </c>
      <c r="V78" s="52">
        <f t="shared" si="50"/>
        <v>1.4683036337003774</v>
      </c>
      <c r="X78" s="44">
        <f t="shared" ref="X78:AB78" si="55">X26/(X$116)*1000</f>
        <v>1.7295228102439635</v>
      </c>
      <c r="Y78" s="44">
        <f t="shared" si="55"/>
        <v>1.8920098966671519</v>
      </c>
      <c r="Z78" s="52">
        <f t="shared" si="55"/>
        <v>2.3283761454108456</v>
      </c>
      <c r="AA78" s="52">
        <f t="shared" si="55"/>
        <v>0</v>
      </c>
      <c r="AB78" s="52">
        <f t="shared" si="55"/>
        <v>2.0646431664311438</v>
      </c>
    </row>
    <row r="79" spans="2:28" x14ac:dyDescent="0.25">
      <c r="B79" s="37" t="s">
        <v>83</v>
      </c>
      <c r="C79" s="7"/>
      <c r="E79" s="83"/>
      <c r="F79" s="44"/>
      <c r="G79" s="44"/>
      <c r="H79" s="52"/>
      <c r="I79" s="52"/>
      <c r="J79" s="52"/>
      <c r="K79" s="52"/>
      <c r="L79" s="44">
        <f t="shared" si="49"/>
        <v>0</v>
      </c>
      <c r="M79" s="44">
        <f t="shared" si="49"/>
        <v>0.24131274131274133</v>
      </c>
      <c r="N79" s="52">
        <f t="shared" si="49"/>
        <v>0.1180776951233912</v>
      </c>
      <c r="O79" s="52">
        <f t="shared" si="49"/>
        <v>1.3187076664868429</v>
      </c>
      <c r="P79" s="52">
        <f t="shared" si="49"/>
        <v>0.42351731127009817</v>
      </c>
      <c r="R79" s="44">
        <f t="shared" si="50"/>
        <v>0.62220009955201583</v>
      </c>
      <c r="S79" s="44">
        <f t="shared" si="50"/>
        <v>1.019930721205762</v>
      </c>
      <c r="T79" s="52">
        <f t="shared" si="50"/>
        <v>0.89126559714795006</v>
      </c>
      <c r="U79" s="52">
        <f t="shared" si="50"/>
        <v>2.2383146807109942</v>
      </c>
      <c r="V79" s="52">
        <f t="shared" si="50"/>
        <v>1.1810268358024776</v>
      </c>
      <c r="X79" s="44">
        <f t="shared" ref="X79:AB79" si="56">X27/(X$116)*1000</f>
        <v>1.1530152068293091</v>
      </c>
      <c r="Y79" s="44">
        <f t="shared" si="56"/>
        <v>2.1830883423082521</v>
      </c>
      <c r="Z79" s="52">
        <f t="shared" si="56"/>
        <v>0.97641580291422569</v>
      </c>
      <c r="AA79" s="52">
        <f t="shared" si="56"/>
        <v>0</v>
      </c>
      <c r="AB79" s="52">
        <f t="shared" si="56"/>
        <v>1.3272706069914495</v>
      </c>
    </row>
    <row r="80" spans="2:28" ht="12.45" customHeight="1" x14ac:dyDescent="0.25">
      <c r="B80" s="37" t="s">
        <v>56</v>
      </c>
      <c r="C80" s="7"/>
      <c r="E80" s="83"/>
      <c r="F80" s="45">
        <f>F28/(F116)*1000</f>
        <v>1.8996535925801765</v>
      </c>
      <c r="G80" s="45">
        <f>G28/(G116)*1000</f>
        <v>1.0933741526350316</v>
      </c>
      <c r="H80" s="59">
        <f>H28/(H116)*1000+0.01</f>
        <v>0.4369854824935952</v>
      </c>
      <c r="I80" s="59">
        <f>I28/(I116)*1000</f>
        <v>-0.22474435329812339</v>
      </c>
      <c r="J80" s="59">
        <f>J28/(J116)*1000</f>
        <v>0.79751395649423862</v>
      </c>
      <c r="K80" s="52"/>
      <c r="L80" s="45">
        <f>L28/(L116)*1000</f>
        <v>-0.25131942699170645</v>
      </c>
      <c r="M80" s="45">
        <f>M28/(M116)*1000-0.01</f>
        <v>0.83459459459459462</v>
      </c>
      <c r="N80" s="59">
        <f>N28/(N116)*1000</f>
        <v>0.8265438658637384</v>
      </c>
      <c r="O80" s="59">
        <f>O28/(O116)*1000</f>
        <v>1.1988251513516752</v>
      </c>
      <c r="P80" s="59">
        <f>P28/(P116)*1000</f>
        <v>0.66552720342444005</v>
      </c>
      <c r="R80" s="45">
        <f>R28/(R116)*1000</f>
        <v>0.99552015928322546</v>
      </c>
      <c r="S80" s="45">
        <f>S28/(S116)*1000</f>
        <v>1.6573874219593634</v>
      </c>
      <c r="T80" s="59">
        <f>T28/(T116)*1000</f>
        <v>2.6737967914438503</v>
      </c>
      <c r="U80" s="59">
        <f>U28/(U116)*1000</f>
        <v>2.7649769585253456</v>
      </c>
      <c r="V80" s="59">
        <f>V28/(V116)*1000</f>
        <v>2.0109375852852995</v>
      </c>
      <c r="X80" s="45">
        <f>X28/(X116)*1000</f>
        <v>5.3326953315855539</v>
      </c>
      <c r="Y80" s="45">
        <f>Y28/(Y116)*1000</f>
        <v>7.4225003638480569</v>
      </c>
      <c r="Z80" s="59">
        <f>Z28/(Z116)*1000</f>
        <v>5.48295027790296</v>
      </c>
      <c r="AA80" s="59">
        <f>AA28/(AA116)*1000</f>
        <v>0</v>
      </c>
      <c r="AB80" s="59">
        <f>AB28/(AB116)*1000</f>
        <v>5.935849103489538</v>
      </c>
    </row>
    <row r="81" spans="2:29" x14ac:dyDescent="0.25">
      <c r="B81" s="6" t="s">
        <v>57</v>
      </c>
      <c r="C81" s="7"/>
      <c r="E81" s="83"/>
      <c r="F81" s="88">
        <f>SUM(F69:F80)</f>
        <v>48.72052743323276</v>
      </c>
      <c r="G81" s="88">
        <f>SUM(G69:G80)</f>
        <v>43.078941613820241</v>
      </c>
      <c r="H81" s="89">
        <f>SUM(H69:H80)</f>
        <v>49.967301451750629</v>
      </c>
      <c r="I81" s="89">
        <f>SUM(I69:I80)+0.01</f>
        <v>47.441058545904035</v>
      </c>
      <c r="J81" s="89">
        <f>SUM(J69:J80)+0.01</f>
        <v>47.310827764485872</v>
      </c>
      <c r="K81" s="52"/>
      <c r="L81" s="88">
        <f>SUM(L69:L80)+0.01</f>
        <v>49.78124654435787</v>
      </c>
      <c r="M81" s="88">
        <f>SUM(M69:M80)</f>
        <v>57.060463320463306</v>
      </c>
      <c r="N81" s="89">
        <f>SUM(N69:N80)+0.01</f>
        <v>63.299644586137681</v>
      </c>
      <c r="O81" s="89">
        <f>SUM(O69:O80)</f>
        <v>65.815500809206966</v>
      </c>
      <c r="P81" s="89">
        <f>SUM(P69:P80)</f>
        <v>59.110916158697982</v>
      </c>
      <c r="Q81" s="52"/>
      <c r="R81" s="88">
        <f>SUM(R69:R80)+0.01</f>
        <v>79.402732702837241</v>
      </c>
      <c r="S81" s="88">
        <f>SUM(S69:S80)-0.01</f>
        <v>56.596155026919789</v>
      </c>
      <c r="T81" s="89">
        <f>SUM(T69:T80)+0.01</f>
        <v>60.488736949325187</v>
      </c>
      <c r="U81" s="89">
        <f>SUM(U69:U80)</f>
        <v>61.619486504279124</v>
      </c>
      <c r="V81" s="89">
        <f>SUM(V69:V80)</f>
        <v>64.637279527027502</v>
      </c>
      <c r="W81" s="52"/>
      <c r="X81" s="88">
        <f>SUM(X69:X80)</f>
        <v>66.874881996099916</v>
      </c>
      <c r="Y81" s="88">
        <f>SUM(Y69:Y80)-0.01</f>
        <v>69.412209285402412</v>
      </c>
      <c r="Z81" s="89">
        <f>SUM(Z69:Z80)</f>
        <v>62.715938110259877</v>
      </c>
      <c r="AA81" s="89">
        <f>SUM(AA69:AA80)</f>
        <v>0</v>
      </c>
      <c r="AB81" s="89">
        <f>SUM(AB69:AB80)</f>
        <v>65.47868327824483</v>
      </c>
    </row>
    <row r="82" spans="2:29" ht="12.45" customHeight="1" x14ac:dyDescent="0.25">
      <c r="B82" s="37" t="s">
        <v>59</v>
      </c>
      <c r="C82" s="7"/>
      <c r="E82" s="83"/>
      <c r="F82" s="45">
        <f>F30/(F$116)*1000</f>
        <v>0.22348865795060902</v>
      </c>
      <c r="G82" s="45">
        <f>G30/(G$116)*1000</f>
        <v>0</v>
      </c>
      <c r="H82" s="59">
        <f>H30/(H$116)*1000</f>
        <v>0.2134927412467976</v>
      </c>
      <c r="I82" s="59">
        <f>I30/(I$116)*1000+0.01</f>
        <v>13.494661197887403</v>
      </c>
      <c r="J82" s="59">
        <f>J30/(J$116)*1000+0.01</f>
        <v>3.4200596760443305</v>
      </c>
      <c r="K82" s="52"/>
      <c r="L82" s="45">
        <f>L30/(L$116)*1000</f>
        <v>6.7856245287760748</v>
      </c>
      <c r="M82" s="45">
        <f>M30/(M$116)*1000</f>
        <v>0.48262548262548266</v>
      </c>
      <c r="N82" s="59">
        <f>N30/(N$116)*1000</f>
        <v>0.23615539024678239</v>
      </c>
      <c r="O82" s="59">
        <f>O30/(O$116)*1000</f>
        <v>-0.11988251513516752</v>
      </c>
      <c r="P82" s="59">
        <f>P30/(P$116)*1000</f>
        <v>1.784822954638271</v>
      </c>
      <c r="R82" s="45">
        <f>R30/(R$116)*1000</f>
        <v>0.87108013937282225</v>
      </c>
      <c r="S82" s="45">
        <f>S30/(S$116)*1000</f>
        <v>0</v>
      </c>
      <c r="T82" s="59">
        <f>T30/(T$116)*1000</f>
        <v>0</v>
      </c>
      <c r="U82" s="59">
        <f>U30/(U$116)*1000</f>
        <v>3.2916392363396971</v>
      </c>
      <c r="V82" s="59">
        <f>V30/(V$116)*1000</f>
        <v>1.0214286147480887</v>
      </c>
      <c r="X82" s="45">
        <f>X30/(X$116)*1000</f>
        <v>0.86476140512198174</v>
      </c>
      <c r="Y82" s="45">
        <f>Y30/(Y$116)*1000</f>
        <v>0.14553922282055012</v>
      </c>
      <c r="Z82" s="59">
        <f>Z30/(Z$116)*1000</f>
        <v>0</v>
      </c>
      <c r="AA82" s="59">
        <f>AA30/(AA$116)*1000</f>
        <v>0</v>
      </c>
      <c r="AB82" s="59">
        <f>AB30/(AB$116)*1000</f>
        <v>0.25808039580389297</v>
      </c>
    </row>
    <row r="83" spans="2:29" x14ac:dyDescent="0.25">
      <c r="B83" s="1" t="s">
        <v>28</v>
      </c>
      <c r="C83" s="7"/>
      <c r="E83" s="83"/>
      <c r="F83" s="44">
        <f>+F66-F81+F82</f>
        <v>-7.9338473572466217</v>
      </c>
      <c r="G83" s="44">
        <f>+G66-G81+G82</f>
        <v>-9.8403673737152815</v>
      </c>
      <c r="H83" s="44">
        <f>+H66-H81+H82+0.01</f>
        <v>13.023057216054664</v>
      </c>
      <c r="I83" s="44">
        <f>+I66-I81+I82</f>
        <v>37.300350601191155</v>
      </c>
      <c r="J83" s="44">
        <f>+J66-J81+J82</f>
        <v>8.0576410087176651</v>
      </c>
      <c r="K83" s="44"/>
      <c r="L83" s="44">
        <f>+L66-L81+L82+0.01</f>
        <v>-23.759685850716263</v>
      </c>
      <c r="M83" s="44">
        <f>+M66-M81+M82</f>
        <v>33.542471042471043</v>
      </c>
      <c r="N83" s="44">
        <f>+N66-N81+N82+0.01</f>
        <v>69.783917817924205</v>
      </c>
      <c r="O83" s="44">
        <f>+O66-O81+O82</f>
        <v>15.826980159443742</v>
      </c>
      <c r="P83" s="44">
        <f>+P66-P81+P82</f>
        <v>24.564004053665705</v>
      </c>
      <c r="Q83" s="32"/>
      <c r="R83" s="44">
        <f>+R66-R81+R82+0.01</f>
        <v>48.904927824788437</v>
      </c>
      <c r="S83" s="44">
        <f>+S66-S81+S82</f>
        <v>18.7512270021559</v>
      </c>
      <c r="T83" s="44">
        <f>+T66-T81+T82</f>
        <v>-1.9098548510313336</v>
      </c>
      <c r="U83" s="44">
        <f>+U66-U81+U82</f>
        <v>37.256886109282426</v>
      </c>
      <c r="V83" s="44">
        <f>+V66-V81+V82</f>
        <v>25.791072522389229</v>
      </c>
      <c r="W83" s="32"/>
      <c r="X83" s="44">
        <f>+X66-X81+X82</f>
        <v>-0.57650760341464047</v>
      </c>
      <c r="Y83" s="44">
        <f>+Y66-Y81+Y82+0.01</f>
        <v>5.5504904671809063</v>
      </c>
      <c r="Z83" s="44">
        <f>+Z66-Z81+Z82</f>
        <v>38.906414300736067</v>
      </c>
      <c r="AA83" s="44">
        <f>+AA66-AA81+AA82</f>
        <v>0</v>
      </c>
      <c r="AB83" s="44">
        <f>+AB66-AB81+AB82+0.01</f>
        <v>20.361482640535574</v>
      </c>
    </row>
    <row r="84" spans="2:29" ht="4.95" customHeight="1" x14ac:dyDescent="0.25">
      <c r="B84" s="1"/>
      <c r="C84" s="7"/>
      <c r="E84" s="83"/>
      <c r="F84" s="44"/>
      <c r="G84" s="44"/>
      <c r="H84" s="52"/>
      <c r="I84" s="52"/>
      <c r="J84" s="52"/>
      <c r="K84" s="52"/>
      <c r="L84" s="44"/>
      <c r="M84" s="44"/>
      <c r="N84" s="52"/>
      <c r="O84" s="52"/>
      <c r="P84" s="52"/>
      <c r="R84" s="44"/>
      <c r="S84" s="44"/>
      <c r="T84" s="52"/>
      <c r="U84" s="52"/>
      <c r="V84" s="52"/>
      <c r="X84" s="44"/>
      <c r="Y84" s="44"/>
      <c r="Z84" s="52"/>
      <c r="AA84" s="52"/>
      <c r="AB84" s="52"/>
    </row>
    <row r="85" spans="2:29" ht="13.95" customHeight="1" x14ac:dyDescent="0.25">
      <c r="B85" s="1" t="s">
        <v>63</v>
      </c>
      <c r="C85" s="7"/>
      <c r="E85" s="83"/>
      <c r="F85" s="44"/>
      <c r="G85" s="44"/>
      <c r="H85" s="52"/>
      <c r="I85" s="52"/>
      <c r="J85" s="52"/>
      <c r="K85" s="52"/>
      <c r="L85" s="44"/>
      <c r="M85" s="44"/>
      <c r="N85" s="52"/>
      <c r="O85" s="52"/>
      <c r="P85" s="52"/>
      <c r="R85" s="44"/>
      <c r="S85" s="44"/>
      <c r="T85" s="52"/>
      <c r="U85" s="52"/>
      <c r="V85" s="52"/>
      <c r="X85" s="44"/>
      <c r="Y85" s="44"/>
      <c r="Z85" s="52"/>
      <c r="AA85" s="52"/>
      <c r="AB85" s="52"/>
    </row>
    <row r="86" spans="2:29" ht="13.95" customHeight="1" x14ac:dyDescent="0.25">
      <c r="B86" s="62" t="s">
        <v>60</v>
      </c>
      <c r="C86" s="7"/>
      <c r="E86" s="83"/>
      <c r="F86" s="44">
        <f>F34/(F116)*1000</f>
        <v>-0.22348865795060902</v>
      </c>
      <c r="G86" s="44">
        <f>G34/(G116)*1000</f>
        <v>-0.21867483052700634</v>
      </c>
      <c r="H86" s="52">
        <f>H34/(H116)*1000</f>
        <v>-0.1067463706233988</v>
      </c>
      <c r="I86" s="52">
        <f>I34/(I116)*1000</f>
        <v>-0.1123721766490617</v>
      </c>
      <c r="J86" s="52">
        <f>J34/(J116)*1000</f>
        <v>-0.16500288755053213</v>
      </c>
      <c r="K86" s="52"/>
      <c r="L86" s="44">
        <f>L34/(L116)*1000</f>
        <v>0</v>
      </c>
      <c r="M86" s="44">
        <f>M34/(M116)*1000</f>
        <v>0</v>
      </c>
      <c r="N86" s="52">
        <f>N34/(N116)*1000</f>
        <v>0</v>
      </c>
      <c r="O86" s="52">
        <f>O34/(O116)*1000</f>
        <v>0</v>
      </c>
      <c r="P86" s="52">
        <f>P34/(P116)*1000</f>
        <v>0</v>
      </c>
      <c r="R86" s="44">
        <f>R34/(R116)*1000</f>
        <v>0</v>
      </c>
      <c r="S86" s="44">
        <f>S34/(S116)*1000</f>
        <v>0</v>
      </c>
      <c r="T86" s="52">
        <f>T34/(T116)*1000</f>
        <v>0</v>
      </c>
      <c r="U86" s="52">
        <f>U34/(U116)*1000</f>
        <v>0</v>
      </c>
      <c r="V86" s="52">
        <f>V34/(V116)*1000</f>
        <v>0</v>
      </c>
      <c r="X86" s="44">
        <f>X34/(X116)*1000</f>
        <v>0</v>
      </c>
      <c r="Y86" s="44">
        <f>Y34/(Y116)*1000</f>
        <v>0</v>
      </c>
      <c r="Z86" s="52">
        <f>Z34/(Z116)*1000</f>
        <v>0</v>
      </c>
      <c r="AA86" s="52">
        <f>AA34/(AA116)*1000</f>
        <v>0</v>
      </c>
      <c r="AB86" s="52">
        <f>AB34/(AB116)*1000</f>
        <v>0</v>
      </c>
    </row>
    <row r="87" spans="2:29" ht="13.95" customHeight="1" x14ac:dyDescent="0.25">
      <c r="B87" s="62" t="s">
        <v>19</v>
      </c>
      <c r="C87" s="7"/>
      <c r="E87" s="83"/>
      <c r="F87" s="44">
        <f>F35/(F116)*1000</f>
        <v>-1.4526762766789585</v>
      </c>
      <c r="G87" s="44">
        <f>G35/(G116)*1000</f>
        <v>-1.4213863984255413</v>
      </c>
      <c r="H87" s="52">
        <f>H35/(H116)*1000</f>
        <v>-1.4944491887275833</v>
      </c>
      <c r="I87" s="52">
        <f>I35/(I116)*1000</f>
        <v>-1.5732104730868637</v>
      </c>
      <c r="J87" s="52">
        <f>J35/(J116)*1000+0.01</f>
        <v>-1.4750259879547891</v>
      </c>
      <c r="K87" s="52"/>
      <c r="L87" s="44">
        <f>L35/(L116)*1000</f>
        <v>-1.6335762754460921</v>
      </c>
      <c r="M87" s="44">
        <f>M35/(M116)*1000</f>
        <v>-1.5685328185328185</v>
      </c>
      <c r="N87" s="52">
        <f>N35/(N116)*1000</f>
        <v>-1.5350100366040855</v>
      </c>
      <c r="O87" s="52">
        <f>O35/(O116)*1000</f>
        <v>-1.6783552118923455</v>
      </c>
      <c r="P87" s="52">
        <f>P35/(P116)*1000</f>
        <v>-1.6033155355225144</v>
      </c>
      <c r="R87" s="44">
        <f>R35/(R116)*1000</f>
        <v>-1.7421602787456445</v>
      </c>
      <c r="S87" s="44">
        <f>S35/(S116)*1000</f>
        <v>-1.7848787621100837</v>
      </c>
      <c r="T87" s="52">
        <f>T35/(T116)*1000</f>
        <v>-1.9098548510313218</v>
      </c>
      <c r="U87" s="52">
        <f>U35/(U116)*1000</f>
        <v>-1.7116524028966427</v>
      </c>
      <c r="V87" s="52">
        <f>V35/(V116)*1000</f>
        <v>-1.7875000758091553</v>
      </c>
      <c r="X87" s="44">
        <f>X35/(X116)*1000</f>
        <v>-1.8736497110976271</v>
      </c>
      <c r="Y87" s="44">
        <f>Y35/(Y116)*1000</f>
        <v>-2.4741667879493523</v>
      </c>
      <c r="Z87" s="52">
        <f>Z35/(Z116)*1000</f>
        <v>-2.1781583295778879</v>
      </c>
      <c r="AA87" s="52">
        <f>AA35/(AA116)*1000</f>
        <v>0</v>
      </c>
      <c r="AB87" s="52">
        <f>AB35/(AB116)*1000</f>
        <v>-2.1752490503470976</v>
      </c>
    </row>
    <row r="88" spans="2:29" ht="13.95" customHeight="1" x14ac:dyDescent="0.25">
      <c r="B88" s="62" t="s">
        <v>77</v>
      </c>
      <c r="C88" s="7"/>
      <c r="E88" s="83"/>
      <c r="F88" s="44"/>
      <c r="G88" s="44"/>
      <c r="H88" s="52"/>
      <c r="I88" s="52"/>
      <c r="J88" s="52"/>
      <c r="K88" s="52"/>
      <c r="L88" s="44">
        <f>L36/(L116)*1000</f>
        <v>0</v>
      </c>
      <c r="M88" s="44">
        <f>M36/(M116)*1000</f>
        <v>0</v>
      </c>
      <c r="N88" s="52">
        <f>N36/(N116)*1000</f>
        <v>0</v>
      </c>
      <c r="O88" s="52">
        <f>O36/(O116)*1000</f>
        <v>-0.11988251513516752</v>
      </c>
      <c r="P88" s="52">
        <f>P36/(P116)*1000</f>
        <v>-3.0251236519292728E-2</v>
      </c>
      <c r="R88" s="44">
        <f>R36/(R116)*1000</f>
        <v>-0.24888003982080636</v>
      </c>
      <c r="S88" s="44">
        <f>S36/(S116)*1000</f>
        <v>-0.12749134015072025</v>
      </c>
      <c r="T88" s="52">
        <f>T36/(T116)*1000</f>
        <v>-0.3819709702062643</v>
      </c>
      <c r="U88" s="52">
        <f>U36/(U116)*1000</f>
        <v>-0.39499670836076367</v>
      </c>
      <c r="V88" s="52">
        <f>V36/(V116)*1000</f>
        <v>-0.28727679789789995</v>
      </c>
      <c r="X88" s="44">
        <f>X36/(X116)*1000</f>
        <v>-0.43238070256099087</v>
      </c>
      <c r="Y88" s="44">
        <f>Y36/(Y116)*1000</f>
        <v>-0.58215689128220049</v>
      </c>
      <c r="Z88" s="52">
        <f>Z36/(Z116)*1000</f>
        <v>-0.15021781583295779</v>
      </c>
      <c r="AA88" s="52">
        <f>AA36/(AA116)*1000</f>
        <v>0</v>
      </c>
      <c r="AB88" s="52">
        <f>AB36/(AB116)*1000</f>
        <v>-0.33181765174786237</v>
      </c>
    </row>
    <row r="89" spans="2:29" ht="13.95" customHeight="1" x14ac:dyDescent="0.25">
      <c r="B89" s="62" t="s">
        <v>51</v>
      </c>
      <c r="C89" s="7"/>
      <c r="E89" s="83"/>
      <c r="F89" s="44">
        <f>+F37/F116*1000</f>
        <v>-0.22348865795060902</v>
      </c>
      <c r="G89" s="44">
        <f>+G37/G116*1000</f>
        <v>0</v>
      </c>
      <c r="H89" s="52">
        <f>+H37/H116*1000</f>
        <v>0</v>
      </c>
      <c r="I89" s="52">
        <f>+I37/I116*1000</f>
        <v>0</v>
      </c>
      <c r="J89" s="52">
        <f>+J37/J116*1000</f>
        <v>-5.5000962516844047E-2</v>
      </c>
      <c r="K89" s="52"/>
      <c r="L89" s="44">
        <f>+L37/L116*1000</f>
        <v>0</v>
      </c>
      <c r="M89" s="44">
        <f>+M37/M116*1000</f>
        <v>0</v>
      </c>
      <c r="N89" s="52">
        <f>+N37/N116*1000</f>
        <v>0</v>
      </c>
      <c r="O89" s="52">
        <f>+O37/O116*1000</f>
        <v>0</v>
      </c>
      <c r="P89" s="52">
        <f>+P37/P116*1000</f>
        <v>0</v>
      </c>
      <c r="R89" s="44">
        <f>+R37/R116*1000</f>
        <v>0</v>
      </c>
      <c r="S89" s="44">
        <f>+S37/S116*1000</f>
        <v>0</v>
      </c>
      <c r="T89" s="52">
        <f>+T37/T116*1000</f>
        <v>0</v>
      </c>
      <c r="U89" s="52">
        <f>+U37/U116*1000</f>
        <v>-0.13166556945358787</v>
      </c>
      <c r="V89" s="52">
        <f>+V37/V116*1000</f>
        <v>-3.1919644210877771E-2</v>
      </c>
      <c r="X89" s="44">
        <f>+X37/X116*1000</f>
        <v>0</v>
      </c>
      <c r="Y89" s="44">
        <f>+Y37/Y116*1000</f>
        <v>0</v>
      </c>
      <c r="Z89" s="52">
        <f>+Z37/Z116*1000</f>
        <v>-0.37554453958239448</v>
      </c>
      <c r="AA89" s="52">
        <f>+AA37/AA116*1000</f>
        <v>0</v>
      </c>
      <c r="AB89" s="52">
        <f>+AB37/AB116*1000</f>
        <v>-0.18434313985992354</v>
      </c>
    </row>
    <row r="90" spans="2:29" ht="13.95" hidden="1" customHeight="1" x14ac:dyDescent="0.25">
      <c r="B90" s="62"/>
      <c r="C90" s="7"/>
      <c r="E90" s="83"/>
      <c r="F90" s="44">
        <f>+F38/F116*1000</f>
        <v>0</v>
      </c>
      <c r="G90" s="44">
        <f>+G38/G116*1000</f>
        <v>0</v>
      </c>
      <c r="H90" s="52">
        <f>+H38/H116*1000</f>
        <v>0</v>
      </c>
      <c r="I90" s="52">
        <f>+I38/I116*1000</f>
        <v>0</v>
      </c>
      <c r="J90" s="52">
        <f>+J38/J116*1000</f>
        <v>0</v>
      </c>
      <c r="K90" s="52"/>
      <c r="L90" s="44">
        <f>+L38/L116*1000</f>
        <v>0</v>
      </c>
      <c r="M90" s="44">
        <f>+M38/M116*1000</f>
        <v>0</v>
      </c>
      <c r="N90" s="52">
        <f>+N38/N116*1000</f>
        <v>0</v>
      </c>
      <c r="O90" s="52">
        <f>+O38/O116*1000</f>
        <v>0</v>
      </c>
      <c r="P90" s="52">
        <f>+P38/P116*1000</f>
        <v>0</v>
      </c>
      <c r="R90" s="44">
        <f>+R38/R116*1000</f>
        <v>0</v>
      </c>
      <c r="S90" s="44">
        <f>+S38/S116*1000</f>
        <v>0</v>
      </c>
      <c r="T90" s="52">
        <f>+T38/T116*1000</f>
        <v>0</v>
      </c>
      <c r="U90" s="52">
        <f>+U38/U116*1000</f>
        <v>0</v>
      </c>
      <c r="V90" s="52">
        <f>+V38/V116*1000</f>
        <v>0</v>
      </c>
      <c r="X90" s="44">
        <f>+X38/X116*1000</f>
        <v>0</v>
      </c>
      <c r="Y90" s="44">
        <f>+Y38/Y116*1000</f>
        <v>0</v>
      </c>
      <c r="Z90" s="52">
        <f>+Z38/Z116*1000</f>
        <v>0</v>
      </c>
      <c r="AA90" s="52">
        <f>+AA38/AA116*1000</f>
        <v>0</v>
      </c>
      <c r="AB90" s="52">
        <f>+AB38/AB116*1000</f>
        <v>0</v>
      </c>
    </row>
    <row r="91" spans="2:29" ht="13.95" customHeight="1" x14ac:dyDescent="0.25">
      <c r="B91" s="62" t="s">
        <v>80</v>
      </c>
      <c r="C91" s="7"/>
      <c r="E91" s="83"/>
      <c r="F91" s="45">
        <f>+F39/F116*1000</f>
        <v>-0.11174432897530451</v>
      </c>
      <c r="G91" s="45">
        <f>+G39/G116*1000</f>
        <v>-0.21867483052700634</v>
      </c>
      <c r="H91" s="59">
        <f>+H39/H116*1000</f>
        <v>0</v>
      </c>
      <c r="I91" s="59">
        <f>+I39/I116*1000</f>
        <v>0.1123721766490617</v>
      </c>
      <c r="J91" s="59">
        <f>+J39/J116*1000</f>
        <v>-5.5000962516844047E-2</v>
      </c>
      <c r="K91" s="52"/>
      <c r="L91" s="45">
        <f>+L39/L116*1000</f>
        <v>0.12565971349585323</v>
      </c>
      <c r="M91" s="45">
        <f>+M39/M116*1000</f>
        <v>0.12065637065637067</v>
      </c>
      <c r="N91" s="59">
        <f>+N39/N116*1000</f>
        <v>0.1180776951233912</v>
      </c>
      <c r="O91" s="59">
        <f>+O39/O116*1000</f>
        <v>0</v>
      </c>
      <c r="P91" s="59">
        <f>+P39/P116*1000</f>
        <v>9.0753709557878176E-2</v>
      </c>
      <c r="R91" s="45">
        <f>+R39/R116*1000</f>
        <v>-0.12444001991040318</v>
      </c>
      <c r="S91" s="45">
        <f>+S39/S116*1000</f>
        <v>0.38247402045216078</v>
      </c>
      <c r="T91" s="59">
        <f>+T39/T116*1000</f>
        <v>0.3819709702062643</v>
      </c>
      <c r="U91" s="59">
        <f>+U39/U116*1000</f>
        <v>0.13166556945358787</v>
      </c>
      <c r="V91" s="59">
        <f>+V39/V116*1000</f>
        <v>0.19151786526526662</v>
      </c>
      <c r="X91" s="45">
        <f>+X39/X116*1000</f>
        <v>0.14412690085366364</v>
      </c>
      <c r="Y91" s="45">
        <f>+Y39/Y116*1000</f>
        <v>-0.87323533692330091</v>
      </c>
      <c r="Z91" s="59">
        <f>+Z39/Z116*1000</f>
        <v>7.5108907916478895E-2</v>
      </c>
      <c r="AA91" s="59">
        <f>+AA39/AA116*1000</f>
        <v>0</v>
      </c>
      <c r="AB91" s="59">
        <f>+AB39/AB116*1000</f>
        <v>-0.14747451188793884</v>
      </c>
    </row>
    <row r="92" spans="2:29" ht="3.6" customHeight="1" x14ac:dyDescent="0.25">
      <c r="B92" s="1"/>
      <c r="C92" s="7"/>
      <c r="E92" s="83"/>
      <c r="F92" s="44"/>
      <c r="G92" s="44"/>
      <c r="H92" s="52"/>
      <c r="I92" s="52"/>
      <c r="J92" s="52"/>
      <c r="K92" s="52"/>
      <c r="L92" s="44"/>
      <c r="M92" s="44"/>
      <c r="N92" s="52"/>
      <c r="O92" s="52"/>
      <c r="P92" s="52"/>
      <c r="R92" s="44"/>
      <c r="S92" s="44"/>
      <c r="T92" s="52"/>
      <c r="U92" s="52"/>
      <c r="V92" s="52"/>
      <c r="X92" s="44"/>
      <c r="Y92" s="44"/>
      <c r="Z92" s="52"/>
      <c r="AA92" s="52"/>
      <c r="AB92" s="52"/>
    </row>
    <row r="93" spans="2:29" ht="14.7" customHeight="1" x14ac:dyDescent="0.25">
      <c r="B93" s="1" t="s">
        <v>25</v>
      </c>
      <c r="C93" s="7"/>
      <c r="E93" s="83"/>
      <c r="F93" s="32">
        <f>+F83+F86+F87+F89+F91+F90+0.01</f>
        <v>-9.9352452788021033</v>
      </c>
      <c r="G93" s="32">
        <f>+G83+G86+G87+G89+G91+G90</f>
        <v>-11.699103433194837</v>
      </c>
      <c r="H93" s="32">
        <f>+H83+H86+H87+H89+H91+H90</f>
        <v>11.421861656703683</v>
      </c>
      <c r="I93" s="32">
        <f>+I83+I86+I87+I89+I91+I90</f>
        <v>35.727140128104288</v>
      </c>
      <c r="J93" s="32">
        <f>+J83+J86+J87+J89+J91+J90-0.02</f>
        <v>6.2876102081786573</v>
      </c>
      <c r="K93" s="32"/>
      <c r="L93" s="32">
        <f>+L83+L86+L87+L89+L91+L90+0.01</f>
        <v>-25.2576024126665</v>
      </c>
      <c r="M93" s="32">
        <f>+M83+M86+M87+M89+M91+M90</f>
        <v>32.094594594594597</v>
      </c>
      <c r="N93" s="32">
        <f>+N83+N86+N87+N89+N91+N90</f>
        <v>68.366985476443503</v>
      </c>
      <c r="O93" s="32">
        <f>+O83+O86+O87+O88+O89+O91+O90</f>
        <v>14.02874243241623</v>
      </c>
      <c r="P93" s="32">
        <f>+P83+P86+P87+P88+P89+P91+P90</f>
        <v>23.021190991181776</v>
      </c>
      <c r="Q93" s="32"/>
      <c r="R93" s="32">
        <f>+R83+R86+R87+R88+R89+R91+R90</f>
        <v>46.789447486311587</v>
      </c>
      <c r="S93" s="32">
        <f t="shared" ref="S93:U93" si="57">+S83+S86+S87+S88+S89+S91+S90</f>
        <v>17.22133092034726</v>
      </c>
      <c r="T93" s="32">
        <f t="shared" si="57"/>
        <v>-3.819709702062656</v>
      </c>
      <c r="U93" s="32">
        <f t="shared" si="57"/>
        <v>35.150236998025022</v>
      </c>
      <c r="V93" s="32">
        <f>+V83+V86+V87+V88+V89+V91+V90</f>
        <v>23.875893869736561</v>
      </c>
      <c r="W93" s="32"/>
      <c r="X93" s="32">
        <f>+X83+X86+X87+X88+X89+X91+X90</f>
        <v>-2.738411116219595</v>
      </c>
      <c r="Y93" s="32">
        <f t="shared" ref="Y93:AA93" si="58">+Y83+Y86+Y87+Y88+Y89+Y91+Y90</f>
        <v>1.6209314510260526</v>
      </c>
      <c r="Z93" s="32">
        <f t="shared" si="58"/>
        <v>36.277602523659304</v>
      </c>
      <c r="AA93" s="32">
        <f t="shared" si="58"/>
        <v>0</v>
      </c>
      <c r="AB93" s="32">
        <f>+AB83+AB86+AB87+AB88+AB89+AB91+AB90</f>
        <v>17.522598286692752</v>
      </c>
      <c r="AC93" s="32"/>
    </row>
    <row r="94" spans="2:29" ht="14.7" customHeight="1" x14ac:dyDescent="0.25">
      <c r="B94" s="37" t="s">
        <v>61</v>
      </c>
      <c r="C94" s="7"/>
      <c r="E94" s="83"/>
      <c r="F94" s="45">
        <f>F41/(F116)*1000</f>
        <v>0</v>
      </c>
      <c r="G94" s="45">
        <f>G41/(G116)*1000</f>
        <v>0</v>
      </c>
      <c r="H94" s="59">
        <f>H41/(H116)*1000</f>
        <v>0</v>
      </c>
      <c r="I94" s="59">
        <f>I41/(I116)*1000</f>
        <v>44.499381953028433</v>
      </c>
      <c r="J94" s="59">
        <f>J41/(J116)*1000-0.01</f>
        <v>10.880190578335121</v>
      </c>
      <c r="K94" s="52"/>
      <c r="L94" s="45">
        <f>L41/(L116)*1000</f>
        <v>3.2671525508921841</v>
      </c>
      <c r="M94" s="45">
        <f>M41/(M116)*1000</f>
        <v>-9.1698841698841704</v>
      </c>
      <c r="N94" s="59">
        <f>N41/(N116)*1000</f>
        <v>-18.065887353878853</v>
      </c>
      <c r="O94" s="59">
        <f>O41/(O116)*1000</f>
        <v>-4.0760055145956962</v>
      </c>
      <c r="P94" s="59">
        <f>P41/(P116)*1000</f>
        <v>-7.169543055072376</v>
      </c>
      <c r="R94" s="45">
        <f>R41/(R116)*1000</f>
        <v>-9.3330014932802392</v>
      </c>
      <c r="S94" s="45">
        <f>S41/(S116)*1000</f>
        <v>-4.8446709257273701</v>
      </c>
      <c r="T94" s="59">
        <f>T41/(T116)*1000</f>
        <v>1.0185892538833714</v>
      </c>
      <c r="U94" s="59">
        <f>U41/(U116)*1000</f>
        <v>-10.401579986833443</v>
      </c>
      <c r="V94" s="59">
        <f>V41/(V116)*1000</f>
        <v>-5.8732145348015097</v>
      </c>
      <c r="X94" s="45">
        <f>X41/(X116)*1000</f>
        <v>1.2971421076829728</v>
      </c>
      <c r="Y94" s="45">
        <f>Y41/(Y116)*1000</f>
        <v>-0.43661766846165045</v>
      </c>
      <c r="Z94" s="59">
        <f>Z41/(Z116)*1000</f>
        <v>-10.365029292474087</v>
      </c>
      <c r="AA94" s="59">
        <f>AA41/(AA116)*1000</f>
        <v>0</v>
      </c>
      <c r="AB94" s="59">
        <f>AB41/(AB116)*1000</f>
        <v>-4.8666588923019818</v>
      </c>
    </row>
    <row r="95" spans="2:29" ht="14.7" customHeight="1" x14ac:dyDescent="0.25">
      <c r="B95" s="1" t="s">
        <v>26</v>
      </c>
      <c r="C95" s="29"/>
      <c r="D95" s="28"/>
      <c r="E95" s="83"/>
      <c r="F95" s="44">
        <f>SUM(F93:F94)</f>
        <v>-9.9352452788021033</v>
      </c>
      <c r="G95" s="44">
        <f>SUM(G93:G94)</f>
        <v>-11.699103433194837</v>
      </c>
      <c r="H95" s="52">
        <f>SUM(H93:H94)</f>
        <v>11.421861656703683</v>
      </c>
      <c r="I95" s="52">
        <f>SUM(I93:I94)</f>
        <v>80.226522081132714</v>
      </c>
      <c r="J95" s="52">
        <f>SUM(J93:J94)</f>
        <v>17.16780078651378</v>
      </c>
      <c r="K95" s="52"/>
      <c r="L95" s="44">
        <f>SUM(L93:L94)</f>
        <v>-21.990449861774316</v>
      </c>
      <c r="M95" s="44">
        <f>SUM(M93:M94)</f>
        <v>22.924710424710426</v>
      </c>
      <c r="N95" s="52">
        <f>SUM(N93:N94)</f>
        <v>50.301098122564653</v>
      </c>
      <c r="O95" s="52">
        <f>SUM(O93:O94)</f>
        <v>9.952736917820534</v>
      </c>
      <c r="P95" s="52">
        <f>SUM(P93:P94)</f>
        <v>15.8516479361094</v>
      </c>
      <c r="Q95" s="32"/>
      <c r="R95" s="44">
        <f>SUM(R93:R94)</f>
        <v>37.456445993031352</v>
      </c>
      <c r="S95" s="44">
        <f>SUM(S93:S94)</f>
        <v>12.376659994619889</v>
      </c>
      <c r="T95" s="52">
        <f>SUM(T93:T94)</f>
        <v>-2.8011204481792848</v>
      </c>
      <c r="U95" s="52">
        <f>SUM(U93:U94)</f>
        <v>24.748657011191579</v>
      </c>
      <c r="V95" s="52">
        <f>SUM(V93:V94)</f>
        <v>18.002679334935053</v>
      </c>
      <c r="W95" s="52"/>
      <c r="X95" s="44">
        <f>SUM(X93:X94)</f>
        <v>-1.4412690085366222</v>
      </c>
      <c r="Y95" s="44">
        <f>SUM(Y93:Y94)</f>
        <v>1.1843137825644021</v>
      </c>
      <c r="Z95" s="52">
        <f>SUM(Z93:Z94)</f>
        <v>25.912573231185217</v>
      </c>
      <c r="AA95" s="52">
        <f>SUM(AA93:AA94)</f>
        <v>0</v>
      </c>
      <c r="AB95" s="52">
        <f>SUM(AB93:AB94)-0.01</f>
        <v>12.645939394390771</v>
      </c>
    </row>
    <row r="96" spans="2:29" ht="4.2" customHeight="1" x14ac:dyDescent="0.25">
      <c r="B96" s="1"/>
      <c r="C96" s="29"/>
      <c r="D96" s="28"/>
      <c r="E96" s="83"/>
      <c r="F96" s="44"/>
      <c r="G96" s="44"/>
      <c r="H96" s="52"/>
      <c r="I96" s="52"/>
      <c r="J96" s="52"/>
      <c r="K96" s="52"/>
      <c r="L96" s="44"/>
      <c r="M96" s="44"/>
      <c r="N96" s="52"/>
      <c r="O96" s="52"/>
      <c r="P96" s="52"/>
      <c r="R96" s="44"/>
      <c r="S96" s="44"/>
      <c r="T96" s="52"/>
      <c r="U96" s="52"/>
      <c r="V96" s="52"/>
      <c r="X96" s="44"/>
      <c r="Y96" s="44"/>
      <c r="Z96" s="52"/>
      <c r="AA96" s="52"/>
      <c r="AB96" s="52"/>
    </row>
    <row r="97" spans="2:28 16259:16259" ht="14.7" customHeight="1" x14ac:dyDescent="0.25">
      <c r="B97" s="79" t="s">
        <v>41</v>
      </c>
      <c r="C97" s="29"/>
      <c r="E97" s="83"/>
      <c r="H97" s="34"/>
      <c r="I97" s="34"/>
      <c r="J97" s="34"/>
      <c r="K97" s="34"/>
      <c r="N97" s="34"/>
      <c r="O97" s="34"/>
      <c r="P97" s="34"/>
      <c r="T97" s="34"/>
      <c r="U97" s="34"/>
      <c r="V97" s="34"/>
      <c r="Z97" s="34"/>
      <c r="AA97" s="34"/>
      <c r="AB97" s="34"/>
      <c r="XAI97" s="45"/>
    </row>
    <row r="98" spans="2:28 16259:16259" ht="14.7" customHeight="1" x14ac:dyDescent="0.25">
      <c r="B98" s="68" t="s">
        <v>40</v>
      </c>
      <c r="C98" s="29"/>
      <c r="D98" s="28"/>
      <c r="E98" s="83"/>
      <c r="F98" s="44">
        <f>F45/(F116)*1000</f>
        <v>0</v>
      </c>
      <c r="G98" s="44">
        <f>G45/(G116)*1000</f>
        <v>0</v>
      </c>
      <c r="H98" s="52">
        <f>H45/(H116)*1000</f>
        <v>0</v>
      </c>
      <c r="I98" s="52">
        <f>I45/(I116)*1000</f>
        <v>0</v>
      </c>
      <c r="J98" s="52">
        <f>J45/(J116)*1000</f>
        <v>0</v>
      </c>
      <c r="K98" s="52"/>
      <c r="L98" s="44">
        <f>L45/(L116)*1000</f>
        <v>0</v>
      </c>
      <c r="M98" s="44">
        <f>M45/(M116)*1000</f>
        <v>0</v>
      </c>
      <c r="N98" s="52">
        <f>N45/(N116)*1000</f>
        <v>0</v>
      </c>
      <c r="O98" s="52">
        <f>O45/(O116)*1000</f>
        <v>0</v>
      </c>
      <c r="P98" s="52">
        <f>P45/(P116)*1000</f>
        <v>0</v>
      </c>
      <c r="R98" s="44">
        <f>R45/(R116)*1000</f>
        <v>0</v>
      </c>
      <c r="S98" s="44">
        <f>S45/(S116)*1000</f>
        <v>0</v>
      </c>
      <c r="T98" s="52">
        <f>T45/(T116)*1000</f>
        <v>0</v>
      </c>
      <c r="U98" s="52">
        <f>U45/(U116)*1000</f>
        <v>0</v>
      </c>
      <c r="V98" s="52">
        <f>V45/(V116)*1000</f>
        <v>0</v>
      </c>
      <c r="X98" s="44">
        <f>X45/(X116)*1000</f>
        <v>0</v>
      </c>
      <c r="Y98" s="44">
        <f>Y45/(Y116)*1000</f>
        <v>0</v>
      </c>
      <c r="Z98" s="52">
        <f>Z45/(Z116)*1000</f>
        <v>0</v>
      </c>
      <c r="AA98" s="52">
        <f>AA45/(AA116)*1000</f>
        <v>0</v>
      </c>
      <c r="AB98" s="52">
        <f>AB45/(AB116)*1000</f>
        <v>0</v>
      </c>
      <c r="XAI98" s="44"/>
    </row>
    <row r="99" spans="2:28 16259:16259" ht="14.7" customHeight="1" x14ac:dyDescent="0.25">
      <c r="B99" s="68" t="s">
        <v>62</v>
      </c>
      <c r="C99" s="29"/>
      <c r="D99" s="28"/>
      <c r="E99" s="83"/>
      <c r="F99" s="45">
        <f>F46/(F116)*1000</f>
        <v>-0.55872164487652254</v>
      </c>
      <c r="G99" s="45">
        <f>G46/(G116)*1000</f>
        <v>-0.43734966105401268</v>
      </c>
      <c r="H99" s="59">
        <f>H46/(H116)*1000</f>
        <v>-0.42698548249359519</v>
      </c>
      <c r="I99" s="59">
        <f>I46/(I116)*1000</f>
        <v>0</v>
      </c>
      <c r="J99" s="59">
        <f>J46/(J116)*1000</f>
        <v>-0.35750625635948624</v>
      </c>
      <c r="K99" s="52"/>
      <c r="L99" s="45">
        <f>L46/(L116)*1000</f>
        <v>0</v>
      </c>
      <c r="M99" s="45">
        <f>M46/(M116)*1000</f>
        <v>0</v>
      </c>
      <c r="N99" s="59">
        <f>N46/(N116)*1000</f>
        <v>0</v>
      </c>
      <c r="O99" s="59">
        <f>O46/(O116)*1000</f>
        <v>0</v>
      </c>
      <c r="P99" s="59">
        <f>P46/(P116)*1000</f>
        <v>0</v>
      </c>
      <c r="R99" s="45">
        <f>R46/(R116)*1000</f>
        <v>0</v>
      </c>
      <c r="S99" s="45">
        <f>S46/(S116)*1000</f>
        <v>0</v>
      </c>
      <c r="T99" s="59">
        <f>T46/(T116)*1000</f>
        <v>0</v>
      </c>
      <c r="U99" s="59">
        <f>U46/(U116)*1000</f>
        <v>0</v>
      </c>
      <c r="V99" s="59">
        <f>V46/(V116)*1000</f>
        <v>0</v>
      </c>
      <c r="X99" s="45">
        <f>X46/(X116)*1000</f>
        <v>0</v>
      </c>
      <c r="Y99" s="45">
        <f>Y46/(Y116)*1000</f>
        <v>0</v>
      </c>
      <c r="Z99" s="59">
        <f>Z46/(Z116)*1000</f>
        <v>0</v>
      </c>
      <c r="AA99" s="59">
        <f>AA46/(AA116)*1000</f>
        <v>0</v>
      </c>
      <c r="AB99" s="59">
        <f>AB46/(AB116)*1000</f>
        <v>0</v>
      </c>
      <c r="XAI99" s="44"/>
    </row>
    <row r="100" spans="2:28 16259:16259" ht="14.7" customHeight="1" x14ac:dyDescent="0.25">
      <c r="B100" s="68" t="s">
        <v>42</v>
      </c>
      <c r="C100" s="29"/>
      <c r="D100" s="28"/>
      <c r="E100" s="83"/>
      <c r="F100" s="44">
        <f>+F98+F99</f>
        <v>-0.55872164487652254</v>
      </c>
      <c r="G100" s="44">
        <f>+G98+G99</f>
        <v>-0.43734966105401268</v>
      </c>
      <c r="H100" s="52">
        <f>+H98+H99</f>
        <v>-0.42698548249359519</v>
      </c>
      <c r="I100" s="52">
        <f>+I98+I99</f>
        <v>0</v>
      </c>
      <c r="J100" s="52">
        <f>+J98+J99</f>
        <v>-0.35750625635948624</v>
      </c>
      <c r="K100" s="52"/>
      <c r="L100" s="44">
        <f>+L98+L99</f>
        <v>0</v>
      </c>
      <c r="M100" s="44">
        <f>+M98+M99</f>
        <v>0</v>
      </c>
      <c r="N100" s="52">
        <f>+N98+N99</f>
        <v>0</v>
      </c>
      <c r="O100" s="52">
        <f>+O98+O99</f>
        <v>0</v>
      </c>
      <c r="P100" s="52">
        <f>+P98+P99</f>
        <v>0</v>
      </c>
      <c r="R100" s="44">
        <f>+R98+R99</f>
        <v>0</v>
      </c>
      <c r="S100" s="44">
        <f>+S98+S99</f>
        <v>0</v>
      </c>
      <c r="T100" s="52">
        <f>+T98+T99</f>
        <v>0</v>
      </c>
      <c r="U100" s="52">
        <f>+U98+U99</f>
        <v>0</v>
      </c>
      <c r="V100" s="52">
        <f>+V98+V99</f>
        <v>0</v>
      </c>
      <c r="X100" s="44">
        <f>+X98+X99</f>
        <v>0</v>
      </c>
      <c r="Y100" s="44">
        <f>+Y98+Y99</f>
        <v>0</v>
      </c>
      <c r="Z100" s="52">
        <f>+Z98+Z99</f>
        <v>0</v>
      </c>
      <c r="AA100" s="52">
        <f>+AA98+AA99</f>
        <v>0</v>
      </c>
      <c r="AB100" s="52">
        <f>+AB98+AB99</f>
        <v>0</v>
      </c>
      <c r="XAI100" s="44"/>
    </row>
    <row r="101" spans="2:28 16259:16259" ht="1.95" customHeight="1" x14ac:dyDescent="0.25">
      <c r="B101" s="68"/>
      <c r="C101" s="29"/>
      <c r="D101" s="28"/>
      <c r="E101" s="83"/>
      <c r="F101" s="44"/>
      <c r="G101" s="44"/>
      <c r="H101" s="52"/>
      <c r="I101" s="52"/>
      <c r="J101" s="52"/>
      <c r="K101" s="52"/>
      <c r="L101" s="44"/>
      <c r="M101" s="44"/>
      <c r="N101" s="52"/>
      <c r="O101" s="52"/>
      <c r="P101" s="52"/>
      <c r="R101" s="44"/>
      <c r="S101" s="44"/>
      <c r="T101" s="52"/>
      <c r="U101" s="52"/>
      <c r="V101" s="52"/>
      <c r="X101" s="44"/>
      <c r="Y101" s="44"/>
      <c r="Z101" s="52"/>
      <c r="AA101" s="52"/>
      <c r="AB101" s="52"/>
      <c r="XAI101" s="44"/>
    </row>
    <row r="102" spans="2:28 16259:16259" ht="14.7" customHeight="1" thickBot="1" x14ac:dyDescent="0.3">
      <c r="B102" s="1" t="s">
        <v>27</v>
      </c>
      <c r="C102" s="29"/>
      <c r="D102" s="28"/>
      <c r="E102" s="83"/>
      <c r="F102" s="46">
        <f>+F95+F100-0.01</f>
        <v>-10.503966923678625</v>
      </c>
      <c r="G102" s="46">
        <f>+G95+G100</f>
        <v>-12.13645309424885</v>
      </c>
      <c r="H102" s="80">
        <f>+H95+H100</f>
        <v>10.994876174210088</v>
      </c>
      <c r="I102" s="80">
        <f>+I95+I100</f>
        <v>80.226522081132714</v>
      </c>
      <c r="J102" s="80">
        <f>+J95+J100</f>
        <v>16.810294530154295</v>
      </c>
      <c r="K102" s="78"/>
      <c r="L102" s="46">
        <f>+L95+L100</f>
        <v>-21.990449861774316</v>
      </c>
      <c r="M102" s="46">
        <f>+M95+M100</f>
        <v>22.924710424710426</v>
      </c>
      <c r="N102" s="80">
        <f>+N95+N100</f>
        <v>50.301098122564653</v>
      </c>
      <c r="O102" s="80">
        <f>+O95+O100</f>
        <v>9.952736917820534</v>
      </c>
      <c r="P102" s="80">
        <f>+P95+P100</f>
        <v>15.8516479361094</v>
      </c>
      <c r="Q102" s="78"/>
      <c r="R102" s="46">
        <f>+R95+R100</f>
        <v>37.456445993031352</v>
      </c>
      <c r="S102" s="46">
        <f>+S95+S100</f>
        <v>12.376659994619889</v>
      </c>
      <c r="T102" s="80">
        <f>+T95+T100</f>
        <v>-2.8011204481792848</v>
      </c>
      <c r="U102" s="80">
        <f>+U95+U100</f>
        <v>24.748657011191579</v>
      </c>
      <c r="V102" s="80">
        <f>+V95+V100</f>
        <v>18.002679334935053</v>
      </c>
      <c r="X102" s="46">
        <f>+X95+X100</f>
        <v>-1.4412690085366222</v>
      </c>
      <c r="Y102" s="46">
        <f>+Y95+Y100</f>
        <v>1.1843137825644021</v>
      </c>
      <c r="Z102" s="80">
        <f>+Z95+Z100</f>
        <v>25.912573231185217</v>
      </c>
      <c r="AA102" s="80">
        <f>+AA95+AA100</f>
        <v>0</v>
      </c>
      <c r="AB102" s="80">
        <f>+AB95+AB100</f>
        <v>12.645939394390771</v>
      </c>
    </row>
    <row r="103" spans="2:28 16259:16259" ht="13.8" thickTop="1" x14ac:dyDescent="0.25">
      <c r="G103" s="23"/>
      <c r="H103" s="57"/>
      <c r="I103" s="57"/>
      <c r="J103" s="34"/>
      <c r="K103" s="34"/>
      <c r="M103" s="23"/>
      <c r="N103" s="57"/>
      <c r="O103" s="57"/>
      <c r="P103" s="34"/>
      <c r="S103" s="43"/>
      <c r="T103" s="57"/>
      <c r="U103" s="57"/>
      <c r="V103" s="34"/>
      <c r="Y103" s="43"/>
      <c r="Z103" s="57"/>
      <c r="AA103" s="57"/>
      <c r="AB103" s="34"/>
    </row>
    <row r="104" spans="2:28 16259:16259" x14ac:dyDescent="0.25">
      <c r="B104" t="s">
        <v>67</v>
      </c>
      <c r="E104" s="93"/>
      <c r="F104" s="92">
        <f>F55/(F116)*1000</f>
        <v>43.915521287294673</v>
      </c>
      <c r="G104" s="92">
        <f>G55/(G116)*1000</f>
        <v>43.297616444347256</v>
      </c>
      <c r="H104" s="92">
        <f>H55/(H116)*1000</f>
        <v>48.035866780529467</v>
      </c>
      <c r="I104" s="92">
        <f>I55/(I116)*1000</f>
        <v>55.062366558040225</v>
      </c>
      <c r="J104" s="92">
        <f>J55/(J116)*1000</f>
        <v>47.548332095811674</v>
      </c>
      <c r="K104" s="93"/>
      <c r="L104" s="92">
        <f>L55/(L116)*1000</f>
        <v>56.169891932646394</v>
      </c>
      <c r="M104" s="92">
        <f>M55/(M116)*1000</f>
        <v>57.553088803088805</v>
      </c>
      <c r="N104" s="92">
        <f>N55/(N116)*1000</f>
        <v>58.802692171448811</v>
      </c>
      <c r="O104" s="92">
        <f>O55/(O116)*1000</f>
        <v>57.903254810285922</v>
      </c>
      <c r="P104" s="92">
        <f>P55/(P116)*1000</f>
        <v>57.628605569252642</v>
      </c>
      <c r="R104" s="92">
        <f>R55/(R116)*1000</f>
        <v>80.886012941762061</v>
      </c>
      <c r="S104" s="92">
        <f>S55/(S116)*1000</f>
        <v>48.95667461787658</v>
      </c>
      <c r="T104" s="92">
        <f>T55/(T116)*1000</f>
        <v>52.839317545199897</v>
      </c>
      <c r="U104" s="92">
        <f>U55/(U116)*1000</f>
        <v>57.142857142857139</v>
      </c>
      <c r="V104" s="92">
        <f>V55/(V116)*1000</f>
        <v>60.104690049082841</v>
      </c>
      <c r="X104" s="92">
        <f>X55/(X116)*1000</f>
        <v>60.100917655977732</v>
      </c>
      <c r="Y104" s="92">
        <f>Y55/(Y116)*1000</f>
        <v>59.088924465143357</v>
      </c>
      <c r="Z104" s="92">
        <f>Z55/(Z116)*1000</f>
        <v>64.067898452756495</v>
      </c>
      <c r="AA104" s="92">
        <f>AA55/(AA116)*1000</f>
        <v>0</v>
      </c>
      <c r="AB104" s="92">
        <f>AB55/(AB116)*1000</f>
        <v>61.791820481046365</v>
      </c>
    </row>
    <row r="105" spans="2:28 16259:16259" x14ac:dyDescent="0.25">
      <c r="G105" s="23"/>
      <c r="H105" s="57"/>
      <c r="I105" s="57"/>
      <c r="J105" s="34"/>
      <c r="K105" s="34"/>
      <c r="M105" s="23"/>
      <c r="N105" s="57"/>
      <c r="O105" s="57"/>
      <c r="P105" s="34"/>
      <c r="S105" s="23"/>
      <c r="T105" s="57"/>
      <c r="U105" s="57"/>
      <c r="V105" s="34"/>
      <c r="Y105" s="23"/>
      <c r="Z105" s="57"/>
      <c r="AA105" s="57"/>
      <c r="AB105" s="34"/>
    </row>
    <row r="106" spans="2:28 16259:16259" x14ac:dyDescent="0.25">
      <c r="F106" s="32"/>
      <c r="G106" s="61"/>
      <c r="H106" s="61"/>
      <c r="I106" s="32"/>
      <c r="J106" s="32"/>
      <c r="K106" s="32"/>
      <c r="L106" s="32"/>
      <c r="M106" s="61"/>
      <c r="N106" s="61"/>
      <c r="O106" s="32"/>
      <c r="P106" s="32"/>
    </row>
    <row r="107" spans="2:28 16259:16259" hidden="1" outlineLevel="1" x14ac:dyDescent="0.25">
      <c r="B107" s="75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</row>
    <row r="108" spans="2:28 16259:16259" ht="6" hidden="1" customHeight="1" outlineLevel="1" x14ac:dyDescent="0.25">
      <c r="B108" s="75"/>
    </row>
    <row r="109" spans="2:28 16259:16259" hidden="1" outlineLevel="1" x14ac:dyDescent="0.25">
      <c r="B109" s="75"/>
    </row>
    <row r="110" spans="2:28 16259:16259" hidden="1" outlineLevel="1" x14ac:dyDescent="0.25">
      <c r="B110" s="75"/>
    </row>
    <row r="111" spans="2:28 16259:16259" ht="9" hidden="1" customHeight="1" outlineLevel="1" x14ac:dyDescent="0.25">
      <c r="B111" s="75"/>
    </row>
    <row r="112" spans="2:28 16259:16259" hidden="1" outlineLevel="1" x14ac:dyDescent="0.25">
      <c r="B112" s="75"/>
      <c r="J112" s="32"/>
      <c r="K112" s="32"/>
      <c r="P112" s="32"/>
    </row>
    <row r="113" spans="1:28" ht="14.4" hidden="1" outlineLevel="1" x14ac:dyDescent="0.25">
      <c r="B113" s="76"/>
    </row>
    <row r="114" spans="1:28" ht="14.4" hidden="1" outlineLevel="1" x14ac:dyDescent="0.25">
      <c r="B114" s="76"/>
    </row>
    <row r="115" spans="1:28" hidden="1" outlineLevel="1" x14ac:dyDescent="0.25">
      <c r="J115" s="42"/>
      <c r="K115" s="42"/>
      <c r="P115" s="42"/>
    </row>
    <row r="116" spans="1:28" s="34" customFormat="1" hidden="1" outlineLevel="1" x14ac:dyDescent="0.25">
      <c r="B116" s="34" t="s">
        <v>52</v>
      </c>
      <c r="F116" s="85">
        <v>8949</v>
      </c>
      <c r="G116" s="85">
        <v>9146</v>
      </c>
      <c r="H116" s="85">
        <v>9368</v>
      </c>
      <c r="I116" s="85">
        <v>8899</v>
      </c>
      <c r="J116" s="85">
        <v>36363</v>
      </c>
      <c r="K116" s="85"/>
      <c r="L116" s="85">
        <v>7958</v>
      </c>
      <c r="M116" s="85">
        <v>8288</v>
      </c>
      <c r="N116" s="85">
        <v>8469</v>
      </c>
      <c r="O116" s="85">
        <v>8341.5</v>
      </c>
      <c r="P116" s="85">
        <f>SUM(L116:O116)</f>
        <v>33056.5</v>
      </c>
      <c r="R116" s="85">
        <v>8036</v>
      </c>
      <c r="S116" s="85">
        <v>7843.67</v>
      </c>
      <c r="T116" s="85">
        <v>7854</v>
      </c>
      <c r="U116" s="85">
        <v>7595</v>
      </c>
      <c r="V116" s="99">
        <f>SUM(R116:U116)</f>
        <v>31328.67</v>
      </c>
      <c r="X116" s="95">
        <v>6938.33</v>
      </c>
      <c r="Y116" s="95">
        <v>6871</v>
      </c>
      <c r="Z116" s="95">
        <v>13314</v>
      </c>
      <c r="AA116" s="95">
        <v>1E-3</v>
      </c>
      <c r="AB116" s="96">
        <f>SUM(X116:AA116)</f>
        <v>27123.331000000002</v>
      </c>
    </row>
    <row r="117" spans="1:28" s="34" customFormat="1" ht="12" hidden="1" customHeight="1" outlineLevel="1" x14ac:dyDescent="0.25">
      <c r="D117" s="86"/>
      <c r="F117" s="85">
        <v>0</v>
      </c>
      <c r="G117" s="85">
        <v>0</v>
      </c>
      <c r="H117" s="85">
        <v>0</v>
      </c>
      <c r="I117" s="87">
        <v>0</v>
      </c>
      <c r="J117" s="85">
        <f>+F117+G117+H117+I117</f>
        <v>0</v>
      </c>
      <c r="K117" s="85"/>
      <c r="L117" s="85">
        <v>0</v>
      </c>
      <c r="M117" s="85">
        <v>0</v>
      </c>
      <c r="N117" s="85">
        <v>0</v>
      </c>
      <c r="O117" s="87">
        <v>0</v>
      </c>
      <c r="P117" s="85">
        <f>+L117+M117+N117+O117</f>
        <v>0</v>
      </c>
    </row>
    <row r="118" spans="1:28" collapsed="1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</row>
    <row r="119" spans="1:28" x14ac:dyDescent="0.25">
      <c r="A119" s="34"/>
      <c r="B119" s="34"/>
      <c r="C119" s="34"/>
      <c r="D119" s="34"/>
      <c r="E119" s="34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</row>
    <row r="120" spans="1:28" x14ac:dyDescent="0.25">
      <c r="A120" s="34"/>
      <c r="B120" s="34"/>
      <c r="C120" s="34"/>
      <c r="D120" s="34"/>
      <c r="E120" s="34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</row>
    <row r="121" spans="1:28" x14ac:dyDescent="0.25">
      <c r="A121" s="34"/>
      <c r="B121" s="34"/>
      <c r="C121" s="34"/>
      <c r="D121" s="34"/>
      <c r="E121" s="34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</row>
    <row r="122" spans="1:28" x14ac:dyDescent="0.25">
      <c r="A122" s="34"/>
      <c r="B122" s="34"/>
      <c r="C122" s="34"/>
      <c r="D122" s="34"/>
      <c r="E122" s="34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</row>
    <row r="123" spans="1:28" x14ac:dyDescent="0.25">
      <c r="A123" s="34"/>
      <c r="B123" s="34"/>
      <c r="C123" s="34"/>
      <c r="D123" s="34"/>
      <c r="E123" s="34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</row>
    <row r="124" spans="1:28" x14ac:dyDescent="0.25">
      <c r="A124" s="34"/>
      <c r="B124" s="34"/>
      <c r="C124" s="34"/>
      <c r="D124" s="34"/>
      <c r="E124" s="34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</row>
    <row r="125" spans="1:28" x14ac:dyDescent="0.25">
      <c r="A125" s="34"/>
      <c r="B125" s="34"/>
      <c r="C125" s="34"/>
      <c r="D125" s="34"/>
      <c r="E125" s="34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</row>
    <row r="126" spans="1:28" x14ac:dyDescent="0.25">
      <c r="G126" s="32"/>
      <c r="J126" s="32"/>
      <c r="K126" s="32"/>
      <c r="L126" s="32"/>
      <c r="M126" s="32"/>
      <c r="N126" s="32"/>
      <c r="O126" s="32"/>
      <c r="P126" s="32"/>
    </row>
    <row r="127" spans="1:28" x14ac:dyDescent="0.25">
      <c r="G127" s="32"/>
      <c r="J127" s="32"/>
      <c r="K127" s="32"/>
      <c r="L127" s="32"/>
      <c r="M127" s="32"/>
      <c r="N127" s="32"/>
      <c r="O127" s="32"/>
      <c r="P127" s="32"/>
    </row>
    <row r="128" spans="1:28" x14ac:dyDescent="0.25">
      <c r="G128" s="32"/>
      <c r="J128" s="32"/>
      <c r="K128" s="32"/>
      <c r="L128" s="32"/>
      <c r="M128" s="32"/>
      <c r="N128" s="32"/>
      <c r="O128" s="32"/>
      <c r="P128" s="32"/>
    </row>
    <row r="129" spans="7:16" x14ac:dyDescent="0.25">
      <c r="G129" s="32"/>
      <c r="J129" s="32"/>
      <c r="K129" s="32"/>
      <c r="L129" s="32"/>
      <c r="M129" s="32"/>
      <c r="N129" s="32"/>
      <c r="O129" s="32"/>
      <c r="P129" s="32"/>
    </row>
    <row r="130" spans="7:16" x14ac:dyDescent="0.25">
      <c r="G130" s="32"/>
      <c r="J130" s="32"/>
      <c r="K130" s="32"/>
      <c r="L130" s="32"/>
      <c r="M130" s="32"/>
      <c r="N130" s="32"/>
      <c r="O130" s="32"/>
      <c r="P130" s="32"/>
    </row>
    <row r="131" spans="7:16" x14ac:dyDescent="0.25">
      <c r="G131" s="32"/>
      <c r="J131" s="32"/>
      <c r="K131" s="32"/>
      <c r="L131" s="32"/>
      <c r="M131" s="32"/>
      <c r="N131" s="32"/>
      <c r="O131" s="32"/>
      <c r="P131" s="32"/>
    </row>
    <row r="132" spans="7:16" x14ac:dyDescent="0.25">
      <c r="G132" s="32"/>
      <c r="J132" s="32"/>
      <c r="K132" s="32"/>
      <c r="L132" s="32"/>
      <c r="M132" s="32"/>
      <c r="N132" s="32"/>
      <c r="O132" s="32"/>
      <c r="P132" s="32"/>
    </row>
  </sheetData>
  <pageMargins left="0.5" right="0.5" top="0.5" bottom="0.3" header="0" footer="0"/>
  <pageSetup scale="45" orientation="landscape" r:id="rId1"/>
  <ignoredErrors>
    <ignoredError sqref="J29 J40 P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32"/>
  <sheetViews>
    <sheetView showGridLines="0" workbookViewId="0">
      <selection activeCell="C1" sqref="C1"/>
    </sheetView>
  </sheetViews>
  <sheetFormatPr defaultRowHeight="13.2" x14ac:dyDescent="0.25"/>
  <cols>
    <col min="1" max="1" width="4" customWidth="1"/>
    <col min="2" max="2" width="4.21875" customWidth="1"/>
    <col min="3" max="3" width="25.44140625" customWidth="1"/>
    <col min="4" max="4" width="2" customWidth="1"/>
    <col min="5" max="5" width="2.6640625" customWidth="1"/>
    <col min="6" max="10" width="0" hidden="1" customWidth="1"/>
    <col min="11" max="11" width="2.6640625" hidden="1" customWidth="1"/>
    <col min="12" max="16" width="0" hidden="1" customWidth="1"/>
    <col min="17" max="17" width="2.6640625" customWidth="1"/>
    <col min="23" max="23" width="2.77734375" customWidth="1"/>
  </cols>
  <sheetData>
    <row r="1" spans="1:28" x14ac:dyDescent="0.25">
      <c r="A1" t="s">
        <v>20</v>
      </c>
    </row>
    <row r="2" spans="1:28" ht="17.399999999999999" x14ac:dyDescent="0.3">
      <c r="B2" s="22" t="s">
        <v>0</v>
      </c>
    </row>
    <row r="4" spans="1:28" ht="15.6" x14ac:dyDescent="0.3">
      <c r="B4" s="101" t="s">
        <v>94</v>
      </c>
      <c r="E4" s="34"/>
    </row>
    <row r="5" spans="1:28" s="11" customFormat="1" ht="16.2" thickBot="1" x14ac:dyDescent="0.35">
      <c r="B5" s="24" t="s">
        <v>43</v>
      </c>
      <c r="C5" s="25"/>
      <c r="D5" s="84"/>
      <c r="E5" s="48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</row>
    <row r="6" spans="1:28" s="11" customFormat="1" ht="6" customHeight="1" thickTop="1" x14ac:dyDescent="0.25">
      <c r="A6" s="12"/>
      <c r="B6"/>
      <c r="C6" s="13"/>
      <c r="D6" s="14"/>
      <c r="E6" s="48"/>
    </row>
    <row r="7" spans="1:28" s="11" customFormat="1" x14ac:dyDescent="0.25">
      <c r="A7" s="12"/>
      <c r="B7"/>
      <c r="C7" s="13"/>
      <c r="D7" s="27"/>
      <c r="E7" s="48"/>
      <c r="F7" s="31" t="s">
        <v>46</v>
      </c>
      <c r="G7" s="31" t="s">
        <v>47</v>
      </c>
      <c r="H7" s="31" t="s">
        <v>48</v>
      </c>
      <c r="I7" s="31" t="s">
        <v>49</v>
      </c>
      <c r="J7" s="31" t="s">
        <v>1</v>
      </c>
      <c r="L7" s="31" t="s">
        <v>68</v>
      </c>
      <c r="M7" s="31" t="s">
        <v>69</v>
      </c>
      <c r="N7" s="31" t="s">
        <v>70</v>
      </c>
      <c r="O7" s="31" t="s">
        <v>71</v>
      </c>
      <c r="P7" s="31" t="s">
        <v>1</v>
      </c>
      <c r="R7" s="31" t="s">
        <v>73</v>
      </c>
      <c r="S7" s="31" t="s">
        <v>74</v>
      </c>
      <c r="T7" s="31" t="s">
        <v>75</v>
      </c>
      <c r="U7" s="31" t="s">
        <v>76</v>
      </c>
      <c r="V7" s="31" t="s">
        <v>1</v>
      </c>
      <c r="X7" s="31" t="s">
        <v>84</v>
      </c>
      <c r="Y7" s="31" t="s">
        <v>85</v>
      </c>
      <c r="Z7" s="31" t="s">
        <v>86</v>
      </c>
      <c r="AA7" s="31" t="s">
        <v>87</v>
      </c>
      <c r="AB7" s="31" t="s">
        <v>1</v>
      </c>
    </row>
    <row r="8" spans="1:28" s="11" customFormat="1" x14ac:dyDescent="0.25">
      <c r="B8" s="35" t="s">
        <v>8</v>
      </c>
      <c r="C8" s="15"/>
      <c r="D8"/>
      <c r="E8" s="48"/>
    </row>
    <row r="9" spans="1:28" s="11" customFormat="1" x14ac:dyDescent="0.25">
      <c r="B9" s="5" t="s">
        <v>11</v>
      </c>
      <c r="C9" s="15"/>
      <c r="D9" s="20"/>
      <c r="E9" s="65"/>
      <c r="F9" s="16">
        <v>38</v>
      </c>
      <c r="G9" s="65">
        <v>39</v>
      </c>
      <c r="H9" s="65">
        <v>40</v>
      </c>
      <c r="I9" s="65">
        <v>40</v>
      </c>
      <c r="J9" s="65">
        <v>39</v>
      </c>
      <c r="L9" s="16">
        <v>38</v>
      </c>
      <c r="M9" s="65">
        <v>38</v>
      </c>
      <c r="N9" s="65">
        <v>36</v>
      </c>
      <c r="O9" s="65">
        <v>36</v>
      </c>
      <c r="P9" s="65">
        <v>37</v>
      </c>
      <c r="R9" s="16">
        <v>35</v>
      </c>
      <c r="S9" s="65">
        <v>34</v>
      </c>
      <c r="T9" s="65">
        <v>33</v>
      </c>
      <c r="U9" s="65">
        <v>32</v>
      </c>
      <c r="V9" s="65">
        <v>33</v>
      </c>
      <c r="X9" s="16">
        <v>30</v>
      </c>
      <c r="Y9" s="65">
        <v>30</v>
      </c>
      <c r="Z9" s="65">
        <v>90</v>
      </c>
      <c r="AA9" s="65">
        <v>0</v>
      </c>
      <c r="AB9" s="65">
        <v>50</v>
      </c>
    </row>
    <row r="10" spans="1:28" s="11" customFormat="1" x14ac:dyDescent="0.25">
      <c r="B10" s="5" t="s">
        <v>12</v>
      </c>
      <c r="C10" s="15"/>
      <c r="D10" s="20"/>
      <c r="E10" s="48"/>
      <c r="F10" s="16">
        <v>20</v>
      </c>
      <c r="G10" s="65">
        <v>19</v>
      </c>
      <c r="H10" s="65">
        <v>19</v>
      </c>
      <c r="I10" s="65">
        <v>18</v>
      </c>
      <c r="J10" s="65">
        <v>19</v>
      </c>
      <c r="L10" s="16">
        <v>18</v>
      </c>
      <c r="M10" s="65">
        <v>16</v>
      </c>
      <c r="N10" s="65">
        <v>19</v>
      </c>
      <c r="O10" s="65">
        <v>19</v>
      </c>
      <c r="P10" s="65">
        <v>18</v>
      </c>
      <c r="R10" s="16">
        <v>20</v>
      </c>
      <c r="S10" s="65">
        <v>19</v>
      </c>
      <c r="T10" s="65">
        <v>18</v>
      </c>
      <c r="U10" s="65">
        <v>18</v>
      </c>
      <c r="V10" s="65">
        <v>19</v>
      </c>
      <c r="X10" s="16">
        <v>18</v>
      </c>
      <c r="Y10" s="65">
        <v>17</v>
      </c>
      <c r="Z10" s="65">
        <v>17</v>
      </c>
      <c r="AA10" s="65">
        <v>0</v>
      </c>
      <c r="AB10" s="65">
        <v>17</v>
      </c>
    </row>
    <row r="11" spans="1:28" s="11" customFormat="1" x14ac:dyDescent="0.25">
      <c r="B11" s="5" t="s">
        <v>13</v>
      </c>
      <c r="C11" s="15"/>
      <c r="D11" s="20"/>
      <c r="E11" s="48"/>
      <c r="F11" s="16">
        <v>2</v>
      </c>
      <c r="G11" s="65">
        <v>3</v>
      </c>
      <c r="H11" s="65">
        <v>3</v>
      </c>
      <c r="I11" s="65">
        <v>1</v>
      </c>
      <c r="J11" s="65">
        <v>2</v>
      </c>
      <c r="L11" s="16">
        <v>0</v>
      </c>
      <c r="M11" s="65">
        <v>0</v>
      </c>
      <c r="N11" s="65">
        <v>0</v>
      </c>
      <c r="O11" s="65">
        <v>0</v>
      </c>
      <c r="P11" s="65">
        <v>0</v>
      </c>
      <c r="R11" s="16">
        <v>0</v>
      </c>
      <c r="S11" s="65">
        <v>0</v>
      </c>
      <c r="T11" s="65">
        <v>0</v>
      </c>
      <c r="U11" s="65">
        <v>0</v>
      </c>
      <c r="V11" s="65">
        <v>0</v>
      </c>
      <c r="X11" s="16">
        <v>0</v>
      </c>
      <c r="Y11" s="65">
        <v>0</v>
      </c>
      <c r="Z11" s="65">
        <v>6</v>
      </c>
      <c r="AA11" s="65">
        <v>0</v>
      </c>
      <c r="AB11" s="65">
        <v>2</v>
      </c>
    </row>
    <row r="12" spans="1:28" s="11" customFormat="1" x14ac:dyDescent="0.25">
      <c r="B12" s="5" t="s">
        <v>15</v>
      </c>
      <c r="C12" s="15"/>
      <c r="D12" s="20"/>
      <c r="E12" s="48"/>
      <c r="F12" s="17">
        <f>SUM(F9:F11)</f>
        <v>60</v>
      </c>
      <c r="G12" s="17">
        <f>SUM(G9:G11)</f>
        <v>61</v>
      </c>
      <c r="H12" s="69">
        <f>SUM(H9:H11)</f>
        <v>62</v>
      </c>
      <c r="I12" s="69">
        <f>SUM(I9:I11)</f>
        <v>59</v>
      </c>
      <c r="J12" s="69">
        <f>SUM(J9:J11)</f>
        <v>60</v>
      </c>
      <c r="L12" s="17">
        <f>SUM(L9:L11)</f>
        <v>56</v>
      </c>
      <c r="M12" s="17">
        <f>SUM(M9:M11)</f>
        <v>54</v>
      </c>
      <c r="N12" s="69">
        <f>SUM(N9:N11)</f>
        <v>55</v>
      </c>
      <c r="O12" s="69">
        <f>SUM(O9:O11)</f>
        <v>55</v>
      </c>
      <c r="P12" s="69">
        <f>SUM(P9:P11)</f>
        <v>55</v>
      </c>
      <c r="R12" s="17">
        <f>SUM(R9:R11)</f>
        <v>55</v>
      </c>
      <c r="S12" s="17">
        <f>SUM(S9:S11)</f>
        <v>53</v>
      </c>
      <c r="T12" s="69">
        <f>SUM(T9:T11)</f>
        <v>51</v>
      </c>
      <c r="U12" s="69">
        <f>SUM(U9:U11)</f>
        <v>50</v>
      </c>
      <c r="V12" s="69">
        <f>SUM(V9:V11)</f>
        <v>52</v>
      </c>
      <c r="X12" s="17">
        <f>SUM(X9:X11)</f>
        <v>48</v>
      </c>
      <c r="Y12" s="17">
        <f>SUM(Y9:Y11)</f>
        <v>47</v>
      </c>
      <c r="Z12" s="69">
        <f>SUM(Z9:Z11)</f>
        <v>113</v>
      </c>
      <c r="AA12" s="69">
        <f>SUM(AA9:AA11)</f>
        <v>0</v>
      </c>
      <c r="AB12" s="69">
        <f>SUM(AB9:AB11)</f>
        <v>69</v>
      </c>
    </row>
    <row r="13" spans="1:28" s="11" customFormat="1" x14ac:dyDescent="0.25">
      <c r="B13" s="18"/>
      <c r="C13" s="7"/>
      <c r="D13" s="20"/>
      <c r="E13" s="48"/>
      <c r="F13" s="30"/>
      <c r="G13" s="30"/>
      <c r="H13" s="70"/>
      <c r="I13" s="70"/>
      <c r="J13" s="70"/>
      <c r="L13" s="30"/>
      <c r="M13" s="30"/>
      <c r="N13" s="70"/>
      <c r="O13" s="70"/>
      <c r="P13" s="70"/>
      <c r="R13" s="30"/>
      <c r="S13" s="30"/>
      <c r="T13" s="70"/>
      <c r="U13" s="70"/>
      <c r="V13" s="70"/>
      <c r="X13" s="30"/>
      <c r="Y13" s="30"/>
      <c r="Z13" s="70"/>
      <c r="AA13" s="70"/>
      <c r="AB13" s="70"/>
    </row>
    <row r="14" spans="1:28" s="11" customFormat="1" x14ac:dyDescent="0.25">
      <c r="B14" s="35" t="s">
        <v>9</v>
      </c>
      <c r="C14" s="15"/>
      <c r="D14" s="20"/>
      <c r="E14" s="48"/>
      <c r="F14" s="30"/>
      <c r="G14" s="30"/>
      <c r="H14" s="70"/>
      <c r="I14" s="70"/>
      <c r="J14" s="70"/>
      <c r="L14" s="30"/>
      <c r="M14" s="30"/>
      <c r="N14" s="70"/>
      <c r="O14" s="70"/>
      <c r="P14" s="70"/>
      <c r="R14" s="30"/>
      <c r="S14" s="30"/>
      <c r="T14" s="70"/>
      <c r="U14" s="70"/>
      <c r="V14" s="70"/>
      <c r="X14" s="30"/>
      <c r="Y14" s="30"/>
      <c r="Z14" s="70"/>
      <c r="AA14" s="70"/>
      <c r="AB14" s="70"/>
    </row>
    <row r="15" spans="1:28" s="11" customFormat="1" x14ac:dyDescent="0.25">
      <c r="B15" s="5" t="s">
        <v>11</v>
      </c>
      <c r="C15" s="15"/>
      <c r="D15" s="20"/>
      <c r="E15" s="48"/>
      <c r="F15" s="16">
        <v>12</v>
      </c>
      <c r="G15" s="16">
        <v>13</v>
      </c>
      <c r="H15" s="65">
        <v>13</v>
      </c>
      <c r="I15" s="65">
        <v>12</v>
      </c>
      <c r="J15" s="65">
        <v>13</v>
      </c>
      <c r="L15" s="16">
        <v>9</v>
      </c>
      <c r="M15" s="16">
        <v>12</v>
      </c>
      <c r="N15" s="65">
        <v>12</v>
      </c>
      <c r="O15" s="65">
        <v>11</v>
      </c>
      <c r="P15" s="65">
        <v>11</v>
      </c>
      <c r="R15" s="16">
        <v>11</v>
      </c>
      <c r="S15" s="16">
        <v>11</v>
      </c>
      <c r="T15" s="65">
        <v>11</v>
      </c>
      <c r="U15" s="65">
        <v>11</v>
      </c>
      <c r="V15" s="65">
        <v>11</v>
      </c>
      <c r="X15" s="16">
        <v>11</v>
      </c>
      <c r="Y15" s="16">
        <v>10</v>
      </c>
      <c r="Z15" s="65">
        <v>11</v>
      </c>
      <c r="AA15" s="65">
        <v>0</v>
      </c>
      <c r="AB15" s="65">
        <v>11</v>
      </c>
    </row>
    <row r="16" spans="1:28" s="11" customFormat="1" x14ac:dyDescent="0.25">
      <c r="B16" s="5" t="s">
        <v>13</v>
      </c>
      <c r="C16" s="15"/>
      <c r="D16" s="20"/>
      <c r="E16" s="48"/>
      <c r="F16" s="16">
        <v>0</v>
      </c>
      <c r="G16" s="16">
        <v>0</v>
      </c>
      <c r="H16" s="65">
        <v>0</v>
      </c>
      <c r="I16" s="65">
        <v>0</v>
      </c>
      <c r="J16" s="65">
        <v>0</v>
      </c>
      <c r="L16" s="16">
        <v>0</v>
      </c>
      <c r="M16" s="16">
        <v>0</v>
      </c>
      <c r="N16" s="65">
        <v>0</v>
      </c>
      <c r="O16" s="65">
        <v>0</v>
      </c>
      <c r="P16" s="65">
        <v>0</v>
      </c>
      <c r="R16" s="16">
        <v>0</v>
      </c>
      <c r="S16" s="16">
        <v>0</v>
      </c>
      <c r="T16" s="65">
        <v>0</v>
      </c>
      <c r="U16" s="65">
        <v>0</v>
      </c>
      <c r="V16" s="65">
        <v>0</v>
      </c>
      <c r="X16" s="16">
        <v>0</v>
      </c>
      <c r="Y16" s="16">
        <v>0</v>
      </c>
      <c r="Z16" s="65">
        <v>0</v>
      </c>
      <c r="AA16" s="65">
        <v>0</v>
      </c>
      <c r="AB16" s="65">
        <v>0</v>
      </c>
    </row>
    <row r="17" spans="2:28" s="11" customFormat="1" x14ac:dyDescent="0.25">
      <c r="B17" s="5" t="s">
        <v>15</v>
      </c>
      <c r="C17" s="15"/>
      <c r="D17" s="20"/>
      <c r="E17" s="48"/>
      <c r="F17" s="19">
        <f>SUM(F15:F16)</f>
        <v>12</v>
      </c>
      <c r="G17" s="19">
        <f>SUM(G15:G16)</f>
        <v>13</v>
      </c>
      <c r="H17" s="71">
        <f>SUM(H15:H16)</f>
        <v>13</v>
      </c>
      <c r="I17" s="71">
        <f>SUM(I15:I16)</f>
        <v>12</v>
      </c>
      <c r="J17" s="71">
        <f>SUM(J15:J16)</f>
        <v>13</v>
      </c>
      <c r="L17" s="19">
        <f>SUM(L15:L16)</f>
        <v>9</v>
      </c>
      <c r="M17" s="19">
        <f>SUM(M15:M16)</f>
        <v>12</v>
      </c>
      <c r="N17" s="71">
        <f>SUM(N15:N16)</f>
        <v>12</v>
      </c>
      <c r="O17" s="71">
        <f>SUM(O15:O16)</f>
        <v>11</v>
      </c>
      <c r="P17" s="71">
        <f>SUM(P15:P16)</f>
        <v>11</v>
      </c>
      <c r="R17" s="19">
        <f>SUM(R15:R16)</f>
        <v>11</v>
      </c>
      <c r="S17" s="19">
        <f>SUM(S15:S16)</f>
        <v>11</v>
      </c>
      <c r="T17" s="71">
        <f>SUM(T15:T16)</f>
        <v>11</v>
      </c>
      <c r="U17" s="71">
        <f>SUM(U15:U16)</f>
        <v>11</v>
      </c>
      <c r="V17" s="71">
        <f>SUM(V15:V16)</f>
        <v>11</v>
      </c>
      <c r="X17" s="19">
        <f>SUM(X15:X16)</f>
        <v>11</v>
      </c>
      <c r="Y17" s="19">
        <f>SUM(Y15:Y16)</f>
        <v>10</v>
      </c>
      <c r="Z17" s="71">
        <f>SUM(Z15:Z16)</f>
        <v>11</v>
      </c>
      <c r="AA17" s="71">
        <f>SUM(AA15:AA16)</f>
        <v>0</v>
      </c>
      <c r="AB17" s="71">
        <f>SUM(AB15:AB16)</f>
        <v>11</v>
      </c>
    </row>
    <row r="18" spans="2:28" s="11" customFormat="1" x14ac:dyDescent="0.25">
      <c r="B18" s="18"/>
      <c r="C18" s="7"/>
      <c r="D18" s="20"/>
      <c r="E18" s="48"/>
      <c r="F18" s="30"/>
      <c r="G18" s="30"/>
      <c r="H18" s="70"/>
      <c r="I18" s="70"/>
      <c r="J18" s="70"/>
      <c r="L18" s="30"/>
      <c r="M18" s="30"/>
      <c r="N18" s="70"/>
      <c r="O18" s="70"/>
      <c r="P18" s="70"/>
      <c r="R18" s="30"/>
      <c r="S18" s="30"/>
      <c r="T18" s="70"/>
      <c r="U18" s="70"/>
      <c r="V18" s="70"/>
      <c r="X18" s="30"/>
      <c r="Y18" s="30"/>
      <c r="Z18" s="70"/>
      <c r="AA18" s="70"/>
      <c r="AB18" s="70"/>
    </row>
    <row r="19" spans="2:28" s="11" customFormat="1" x14ac:dyDescent="0.25">
      <c r="B19" s="36" t="s">
        <v>10</v>
      </c>
      <c r="C19"/>
      <c r="D19" s="20"/>
      <c r="E19" s="48"/>
      <c r="F19" s="30"/>
      <c r="G19" s="30"/>
      <c r="H19" s="70"/>
      <c r="I19" s="70"/>
      <c r="J19" s="70"/>
      <c r="L19" s="30"/>
      <c r="M19" s="30"/>
      <c r="N19" s="70"/>
      <c r="O19" s="70"/>
      <c r="P19" s="70"/>
      <c r="R19" s="30"/>
      <c r="S19" s="30"/>
      <c r="T19" s="70"/>
      <c r="U19" s="70"/>
      <c r="V19" s="70"/>
      <c r="X19" s="30"/>
      <c r="Y19" s="30"/>
      <c r="Z19" s="70"/>
      <c r="AA19" s="70"/>
      <c r="AB19" s="70"/>
    </row>
    <row r="20" spans="2:28" s="11" customFormat="1" x14ac:dyDescent="0.25">
      <c r="B20" s="5" t="s">
        <v>11</v>
      </c>
      <c r="C20" s="20"/>
      <c r="D20" s="20"/>
      <c r="E20" s="48"/>
      <c r="F20" s="16">
        <v>135</v>
      </c>
      <c r="G20" s="16">
        <v>135</v>
      </c>
      <c r="H20" s="65">
        <v>135</v>
      </c>
      <c r="I20" s="65">
        <v>131</v>
      </c>
      <c r="J20" s="65">
        <v>135</v>
      </c>
      <c r="L20" s="16">
        <v>121</v>
      </c>
      <c r="M20" s="16">
        <v>132</v>
      </c>
      <c r="N20" s="65">
        <v>131</v>
      </c>
      <c r="O20" s="65">
        <v>129</v>
      </c>
      <c r="P20" s="65">
        <v>129</v>
      </c>
      <c r="R20" s="16">
        <v>119</v>
      </c>
      <c r="S20" s="16">
        <v>119</v>
      </c>
      <c r="T20" s="65">
        <v>122</v>
      </c>
      <c r="U20" s="65">
        <v>114</v>
      </c>
      <c r="V20" s="65">
        <v>119</v>
      </c>
      <c r="X20" s="16">
        <v>90</v>
      </c>
      <c r="Y20" s="16">
        <v>99</v>
      </c>
      <c r="Z20" s="65">
        <v>111</v>
      </c>
      <c r="AA20" s="65">
        <v>0</v>
      </c>
      <c r="AB20" s="65">
        <v>99</v>
      </c>
    </row>
    <row r="21" spans="2:28" s="11" customFormat="1" x14ac:dyDescent="0.25">
      <c r="B21" s="5" t="s">
        <v>12</v>
      </c>
      <c r="C21"/>
      <c r="D21" s="20"/>
      <c r="E21" s="48"/>
      <c r="F21" s="16">
        <v>1</v>
      </c>
      <c r="G21" s="16">
        <v>1</v>
      </c>
      <c r="H21" s="65">
        <v>1</v>
      </c>
      <c r="I21" s="65">
        <v>1</v>
      </c>
      <c r="J21" s="65">
        <v>1</v>
      </c>
      <c r="L21" s="16">
        <v>1</v>
      </c>
      <c r="M21" s="16">
        <v>1</v>
      </c>
      <c r="N21" s="65">
        <v>1</v>
      </c>
      <c r="O21" s="65">
        <v>1</v>
      </c>
      <c r="P21" s="65">
        <v>1</v>
      </c>
      <c r="R21" s="16">
        <v>1</v>
      </c>
      <c r="S21" s="16">
        <v>1</v>
      </c>
      <c r="T21" s="65">
        <v>1</v>
      </c>
      <c r="U21" s="65">
        <v>1</v>
      </c>
      <c r="V21" s="65">
        <v>1</v>
      </c>
      <c r="X21" s="16">
        <v>1</v>
      </c>
      <c r="Y21" s="16">
        <v>1</v>
      </c>
      <c r="Z21" s="65">
        <v>1</v>
      </c>
      <c r="AA21" s="65">
        <v>0</v>
      </c>
      <c r="AB21" s="65">
        <v>1</v>
      </c>
    </row>
    <row r="22" spans="2:28" s="11" customFormat="1" x14ac:dyDescent="0.25">
      <c r="B22" s="5" t="s">
        <v>13</v>
      </c>
      <c r="C22"/>
      <c r="D22" s="20"/>
      <c r="E22" s="48"/>
      <c r="F22" s="16">
        <v>4</v>
      </c>
      <c r="G22" s="16">
        <v>5</v>
      </c>
      <c r="H22" s="65">
        <v>5</v>
      </c>
      <c r="I22" s="65">
        <v>2</v>
      </c>
      <c r="J22" s="65">
        <v>4</v>
      </c>
      <c r="L22" s="16">
        <v>0</v>
      </c>
      <c r="M22" s="16">
        <v>0</v>
      </c>
      <c r="N22" s="65">
        <v>0</v>
      </c>
      <c r="O22" s="65">
        <v>0</v>
      </c>
      <c r="P22" s="65">
        <v>0</v>
      </c>
      <c r="R22" s="16">
        <v>0</v>
      </c>
      <c r="S22" s="16">
        <v>0</v>
      </c>
      <c r="T22" s="65">
        <v>0</v>
      </c>
      <c r="U22" s="65">
        <v>0</v>
      </c>
      <c r="V22" s="65">
        <v>0</v>
      </c>
      <c r="X22" s="16">
        <v>0</v>
      </c>
      <c r="Y22" s="16">
        <v>0</v>
      </c>
      <c r="Z22" s="65">
        <v>1</v>
      </c>
      <c r="AA22" s="65">
        <v>0</v>
      </c>
      <c r="AB22" s="65">
        <v>0</v>
      </c>
    </row>
    <row r="23" spans="2:28" s="11" customFormat="1" x14ac:dyDescent="0.25">
      <c r="B23" s="5" t="s">
        <v>14</v>
      </c>
      <c r="C23"/>
      <c r="D23" s="20"/>
      <c r="E23" s="48"/>
      <c r="F23" s="16">
        <v>20</v>
      </c>
      <c r="G23" s="16">
        <v>20</v>
      </c>
      <c r="H23" s="65">
        <v>19</v>
      </c>
      <c r="I23" s="65">
        <v>19</v>
      </c>
      <c r="J23" s="65">
        <v>19</v>
      </c>
      <c r="L23" s="16">
        <v>19</v>
      </c>
      <c r="M23" s="16">
        <v>18</v>
      </c>
      <c r="N23" s="65">
        <v>17</v>
      </c>
      <c r="O23" s="65">
        <v>17</v>
      </c>
      <c r="P23" s="65">
        <v>17</v>
      </c>
      <c r="R23" s="16">
        <v>16</v>
      </c>
      <c r="S23" s="16">
        <v>15</v>
      </c>
      <c r="T23" s="65">
        <v>15</v>
      </c>
      <c r="U23" s="65">
        <v>15</v>
      </c>
      <c r="V23" s="65">
        <v>15</v>
      </c>
      <c r="X23" s="16">
        <v>14</v>
      </c>
      <c r="Y23" s="16">
        <v>14</v>
      </c>
      <c r="Z23" s="65">
        <v>13</v>
      </c>
      <c r="AA23" s="65">
        <v>0</v>
      </c>
      <c r="AB23" s="65">
        <v>14</v>
      </c>
    </row>
    <row r="24" spans="2:28" s="11" customFormat="1" x14ac:dyDescent="0.25">
      <c r="B24" s="5" t="s">
        <v>15</v>
      </c>
      <c r="C24"/>
      <c r="D24" s="20"/>
      <c r="E24" s="74"/>
      <c r="F24" s="19">
        <f>SUM(F20:F23)</f>
        <v>160</v>
      </c>
      <c r="G24" s="19">
        <f>SUM(G20:G23)</f>
        <v>161</v>
      </c>
      <c r="H24" s="71">
        <f>SUM(H20:H23)</f>
        <v>160</v>
      </c>
      <c r="I24" s="71">
        <f>SUM(I20:I23)</f>
        <v>153</v>
      </c>
      <c r="J24" s="71">
        <f>SUM(J20:J23)</f>
        <v>159</v>
      </c>
      <c r="L24" s="19">
        <f>SUM(L20:L23)</f>
        <v>141</v>
      </c>
      <c r="M24" s="19">
        <f>SUM(M20:M23)</f>
        <v>151</v>
      </c>
      <c r="N24" s="71">
        <f>SUM(N20:N23)</f>
        <v>149</v>
      </c>
      <c r="O24" s="71">
        <f>SUM(O20:O23)</f>
        <v>147</v>
      </c>
      <c r="P24" s="71">
        <f>SUM(P20:P23)</f>
        <v>147</v>
      </c>
      <c r="R24" s="19">
        <f>SUM(R20:R23)</f>
        <v>136</v>
      </c>
      <c r="S24" s="19">
        <f>SUM(S20:S23)</f>
        <v>135</v>
      </c>
      <c r="T24" s="71">
        <f>SUM(T20:T23)</f>
        <v>138</v>
      </c>
      <c r="U24" s="71">
        <f>SUM(U20:U23)</f>
        <v>130</v>
      </c>
      <c r="V24" s="71">
        <f>SUM(V20:V23)</f>
        <v>135</v>
      </c>
      <c r="X24" s="19">
        <f>SUM(X20:X23)</f>
        <v>105</v>
      </c>
      <c r="Y24" s="19">
        <f>SUM(Y20:Y23)</f>
        <v>114</v>
      </c>
      <c r="Z24" s="71">
        <f>SUM(Z20:Z23)</f>
        <v>126</v>
      </c>
      <c r="AA24" s="71">
        <f>SUM(AA20:AA23)</f>
        <v>0</v>
      </c>
      <c r="AB24" s="71">
        <f>SUM(AB20:AB23)</f>
        <v>114</v>
      </c>
    </row>
    <row r="25" spans="2:28" s="11" customFormat="1" x14ac:dyDescent="0.25">
      <c r="B25"/>
      <c r="C25"/>
      <c r="D25" s="20"/>
      <c r="E25" s="48"/>
      <c r="F25" s="30"/>
      <c r="G25" s="30"/>
      <c r="H25" s="70"/>
      <c r="I25" s="70"/>
      <c r="J25" s="70"/>
      <c r="L25" s="30"/>
      <c r="M25" s="30"/>
      <c r="N25" s="70"/>
      <c r="O25" s="70"/>
      <c r="P25" s="70"/>
      <c r="R25" s="30"/>
      <c r="S25" s="30"/>
      <c r="T25" s="70"/>
      <c r="U25" s="70"/>
      <c r="V25" s="70"/>
      <c r="X25" s="30"/>
      <c r="Y25" s="30"/>
      <c r="Z25" s="70"/>
      <c r="AA25" s="70"/>
      <c r="AB25" s="70"/>
    </row>
    <row r="26" spans="2:28" s="11" customFormat="1" ht="16.2" thickBot="1" x14ac:dyDescent="0.3">
      <c r="B26" s="21" t="s">
        <v>29</v>
      </c>
      <c r="C26"/>
      <c r="D26" s="20"/>
      <c r="E26" s="70"/>
      <c r="F26" s="56">
        <f>F12+F17+(F24/6)</f>
        <v>98.666666666666671</v>
      </c>
      <c r="G26" s="56">
        <f>G12+G17+(G24/6)</f>
        <v>100.83333333333333</v>
      </c>
      <c r="H26" s="72">
        <f>H12+H17+(H24/6)</f>
        <v>101.66666666666667</v>
      </c>
      <c r="I26" s="72">
        <f>I12+I17+(I24/6)</f>
        <v>96.5</v>
      </c>
      <c r="J26" s="72">
        <f>J12+J17+(J24/6)</f>
        <v>99.5</v>
      </c>
      <c r="L26" s="56">
        <f>L12+L17+(L24/6)-1</f>
        <v>87.5</v>
      </c>
      <c r="M26" s="56">
        <v>91</v>
      </c>
      <c r="N26" s="72">
        <f>N12+N17+(N24/6)</f>
        <v>91.833333333333329</v>
      </c>
      <c r="O26" s="72">
        <f>O12+O17+(O24/6)</f>
        <v>90.5</v>
      </c>
      <c r="P26" s="72">
        <f>P12+P17+(P24/6)</f>
        <v>90.5</v>
      </c>
      <c r="R26" s="56">
        <f>R12+R17+(R24/6)</f>
        <v>88.666666666666671</v>
      </c>
      <c r="S26" s="56">
        <f>S12+S17+(S24/6)-1</f>
        <v>85.5</v>
      </c>
      <c r="T26" s="72">
        <f>T12+T17+(T24/6)</f>
        <v>85</v>
      </c>
      <c r="U26" s="72">
        <f>U12+U17+(U24/6)</f>
        <v>82.666666666666671</v>
      </c>
      <c r="V26" s="72">
        <f>V12+V17+(V24/6)</f>
        <v>85.5</v>
      </c>
      <c r="X26" s="56">
        <f>X12+X17+(X24/6)-1</f>
        <v>75.5</v>
      </c>
      <c r="Y26" s="56">
        <f>Y12+Y17+(Y24/6)</f>
        <v>76</v>
      </c>
      <c r="Z26" s="72">
        <f>Z12+Z17+(Z24/6)</f>
        <v>145</v>
      </c>
      <c r="AA26" s="72">
        <f>AA12+AA17+(AA24/6)</f>
        <v>0</v>
      </c>
      <c r="AB26" s="72">
        <f>AB12+AB17+(AB24/6)</f>
        <v>99</v>
      </c>
    </row>
    <row r="27" spans="2:28" s="11" customFormat="1" ht="13.8" thickTop="1" x14ac:dyDescent="0.25">
      <c r="B27" s="21"/>
      <c r="C27"/>
      <c r="D27" s="20"/>
      <c r="E27" s="48"/>
    </row>
    <row r="28" spans="2:28" x14ac:dyDescent="0.25">
      <c r="E28" s="34"/>
    </row>
    <row r="29" spans="2:28" x14ac:dyDescent="0.25">
      <c r="B29" s="73" t="s">
        <v>32</v>
      </c>
      <c r="E29" s="34"/>
    </row>
    <row r="30" spans="2:28" ht="4.2" customHeight="1" x14ac:dyDescent="0.25">
      <c r="B30" s="73"/>
      <c r="E30" s="34"/>
    </row>
    <row r="31" spans="2:28" x14ac:dyDescent="0.25">
      <c r="B31" s="73" t="s">
        <v>30</v>
      </c>
      <c r="E31" s="34"/>
    </row>
    <row r="32" spans="2:28" x14ac:dyDescent="0.25">
      <c r="B32" s="73" t="s">
        <v>31</v>
      </c>
      <c r="E32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P35"/>
  <sheetViews>
    <sheetView showGridLines="0" workbookViewId="0">
      <selection activeCell="B9" sqref="B9"/>
    </sheetView>
  </sheetViews>
  <sheetFormatPr defaultRowHeight="13.2" x14ac:dyDescent="0.25"/>
  <cols>
    <col min="1" max="1" width="4" customWidth="1"/>
    <col min="2" max="2" width="13.77734375" customWidth="1"/>
    <col min="3" max="3" width="37.77734375" customWidth="1"/>
    <col min="4" max="4" width="12.44140625" bestFit="1" customWidth="1"/>
    <col min="5" max="5" width="2.21875" customWidth="1"/>
    <col min="6" max="6" width="12" bestFit="1" customWidth="1"/>
    <col min="7" max="7" width="2.44140625" customWidth="1"/>
    <col min="8" max="8" width="11.44140625" customWidth="1"/>
    <col min="9" max="9" width="2.44140625" customWidth="1"/>
    <col min="10" max="10" width="11.44140625" customWidth="1"/>
    <col min="11" max="11" width="1.5546875" customWidth="1"/>
    <col min="12" max="12" width="9.21875" customWidth="1"/>
  </cols>
  <sheetData>
    <row r="2" spans="2:16" ht="17.399999999999999" x14ac:dyDescent="0.3">
      <c r="B2" s="22" t="s">
        <v>0</v>
      </c>
    </row>
    <row r="3" spans="2:16" ht="14.25" customHeight="1" x14ac:dyDescent="0.3">
      <c r="B3" s="22"/>
      <c r="N3" s="97"/>
      <c r="O3" s="98"/>
      <c r="P3" s="98"/>
    </row>
    <row r="5" spans="2:16" ht="16.2" thickBot="1" x14ac:dyDescent="0.35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6" ht="5.25" customHeight="1" thickTop="1" x14ac:dyDescent="0.25"/>
    <row r="7" spans="2:16" s="28" customFormat="1" x14ac:dyDescent="0.25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7</v>
      </c>
      <c r="K7" s="38"/>
      <c r="L7" s="38"/>
    </row>
    <row r="8" spans="2:16" s="28" customFormat="1" x14ac:dyDescent="0.25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4</v>
      </c>
      <c r="K8" s="38"/>
      <c r="L8" s="31" t="s">
        <v>1</v>
      </c>
    </row>
    <row r="9" spans="2:16" s="28" customFormat="1" x14ac:dyDescent="0.25"/>
    <row r="10" spans="2:16" s="28" customFormat="1" x14ac:dyDescent="0.25">
      <c r="B10" s="81" t="s">
        <v>82</v>
      </c>
      <c r="C10" s="54"/>
    </row>
    <row r="11" spans="2:16" s="28" customFormat="1" x14ac:dyDescent="0.25">
      <c r="B11" s="10" t="s">
        <v>35</v>
      </c>
    </row>
    <row r="12" spans="2:16" s="28" customFormat="1" x14ac:dyDescent="0.25">
      <c r="B12" t="s">
        <v>17</v>
      </c>
      <c r="D12" s="39">
        <v>136</v>
      </c>
      <c r="E12" s="39"/>
      <c r="F12" s="39">
        <v>87</v>
      </c>
      <c r="G12" s="39"/>
      <c r="H12" s="39">
        <v>0</v>
      </c>
      <c r="I12" s="39"/>
      <c r="J12" s="16">
        <v>0</v>
      </c>
      <c r="K12" s="39"/>
      <c r="L12" s="39">
        <f>SUM(D12:K12)</f>
        <v>223</v>
      </c>
    </row>
    <row r="13" spans="2:16" s="28" customFormat="1" x14ac:dyDescent="0.25">
      <c r="B13" s="11" t="s">
        <v>18</v>
      </c>
      <c r="D13" s="39">
        <v>29</v>
      </c>
      <c r="E13" s="39"/>
      <c r="F13" s="39">
        <v>4</v>
      </c>
      <c r="G13" s="39"/>
      <c r="H13" s="39">
        <v>0</v>
      </c>
      <c r="I13" s="39"/>
      <c r="J13" s="16">
        <v>0</v>
      </c>
      <c r="K13" s="39"/>
      <c r="L13" s="39">
        <f>SUM(D13:K13)</f>
        <v>33</v>
      </c>
    </row>
    <row r="14" spans="2:16" s="28" customFormat="1" x14ac:dyDescent="0.25">
      <c r="B14" s="49" t="s">
        <v>16</v>
      </c>
      <c r="D14" s="50">
        <f>+D13+D12</f>
        <v>165</v>
      </c>
      <c r="E14" s="39"/>
      <c r="F14" s="50">
        <f>+F13+F12</f>
        <v>91</v>
      </c>
      <c r="G14" s="39"/>
      <c r="H14" s="50">
        <f>+H13+H12</f>
        <v>0</v>
      </c>
      <c r="I14" s="39"/>
      <c r="J14" s="50">
        <f>+J13+J12</f>
        <v>0</v>
      </c>
      <c r="K14" s="39"/>
      <c r="L14" s="50">
        <f>+L13+L12</f>
        <v>256</v>
      </c>
    </row>
    <row r="15" spans="2:16" s="28" customFormat="1" x14ac:dyDescent="0.25">
      <c r="D15" s="40"/>
      <c r="E15" s="40"/>
      <c r="F15" s="40"/>
      <c r="G15" s="40"/>
      <c r="H15" s="40"/>
      <c r="I15" s="40"/>
      <c r="J15" s="40"/>
      <c r="K15" s="40"/>
      <c r="L15"/>
    </row>
    <row r="16" spans="2:16" s="28" customFormat="1" x14ac:dyDescent="0.25">
      <c r="B16" s="10" t="s">
        <v>36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5">
      <c r="B17" t="s">
        <v>17</v>
      </c>
      <c r="D17" s="39">
        <v>34</v>
      </c>
      <c r="E17" s="39"/>
      <c r="F17" s="39">
        <v>0</v>
      </c>
      <c r="G17" s="39"/>
      <c r="H17" s="39">
        <v>0</v>
      </c>
      <c r="I17" s="39"/>
      <c r="J17" s="16">
        <v>0</v>
      </c>
      <c r="K17" s="39"/>
      <c r="L17" s="39">
        <f>SUM(D17:K17)</f>
        <v>34</v>
      </c>
    </row>
    <row r="18" spans="2:13" s="28" customFormat="1" x14ac:dyDescent="0.25">
      <c r="B18" s="11" t="s">
        <v>18</v>
      </c>
      <c r="D18" s="39">
        <v>1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1</v>
      </c>
    </row>
    <row r="19" spans="2:13" s="28" customFormat="1" x14ac:dyDescent="0.25">
      <c r="B19" s="49" t="s">
        <v>16</v>
      </c>
      <c r="D19" s="50">
        <f>+D18+D17</f>
        <v>35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0</v>
      </c>
      <c r="K19" s="39"/>
      <c r="L19" s="50">
        <f>+L18+L17</f>
        <v>35</v>
      </c>
    </row>
    <row r="20" spans="2:13" s="28" customFormat="1" x14ac:dyDescent="0.25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x14ac:dyDescent="0.25">
      <c r="B21" s="10" t="s">
        <v>37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5">
      <c r="B22" t="s">
        <v>17</v>
      </c>
      <c r="D22" s="39">
        <v>389</v>
      </c>
      <c r="E22" s="39"/>
      <c r="F22" s="39">
        <v>5</v>
      </c>
      <c r="G22" s="39"/>
      <c r="H22" s="39">
        <v>0</v>
      </c>
      <c r="I22" s="39"/>
      <c r="J22" s="16">
        <v>51</v>
      </c>
      <c r="K22" s="39"/>
      <c r="L22" s="39">
        <f>SUM(D22:K22)</f>
        <v>445</v>
      </c>
    </row>
    <row r="23" spans="2:13" s="28" customFormat="1" x14ac:dyDescent="0.25">
      <c r="B23" s="11" t="s">
        <v>18</v>
      </c>
      <c r="D23" s="39">
        <v>67</v>
      </c>
      <c r="E23" s="39"/>
      <c r="F23" s="39">
        <v>0</v>
      </c>
      <c r="G23" s="39"/>
      <c r="H23" s="39">
        <v>0</v>
      </c>
      <c r="I23" s="39"/>
      <c r="J23" s="16">
        <v>6</v>
      </c>
      <c r="K23" s="39"/>
      <c r="L23" s="39">
        <f>SUM(D23:K23)</f>
        <v>73</v>
      </c>
    </row>
    <row r="24" spans="2:13" s="28" customFormat="1" x14ac:dyDescent="0.25">
      <c r="B24" s="49" t="s">
        <v>16</v>
      </c>
      <c r="D24" s="50">
        <f>+D23+D22</f>
        <v>456</v>
      </c>
      <c r="E24" s="39"/>
      <c r="F24" s="50">
        <f>+F23+F22</f>
        <v>5</v>
      </c>
      <c r="G24" s="39"/>
      <c r="H24" s="50">
        <f>+H23+H22</f>
        <v>0</v>
      </c>
      <c r="I24" s="39"/>
      <c r="J24" s="50">
        <f>+J23+J22</f>
        <v>57</v>
      </c>
      <c r="K24" s="39"/>
      <c r="L24" s="50">
        <f>+L23+L22</f>
        <v>518</v>
      </c>
    </row>
    <row r="25" spans="2:13" s="28" customFormat="1" x14ac:dyDescent="0.25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5.6" x14ac:dyDescent="0.25">
      <c r="B26" s="10" t="s">
        <v>38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5">
      <c r="B27" t="s">
        <v>17</v>
      </c>
      <c r="D27" s="53">
        <f>ROUND(D12+D17+D22/6,0)</f>
        <v>235</v>
      </c>
      <c r="E27" s="53"/>
      <c r="F27" s="53">
        <f>ROUND(F12+F17+F22/6,0)</f>
        <v>88</v>
      </c>
      <c r="G27" s="53"/>
      <c r="H27" s="53">
        <f>ROUND(H12+H17+H22/6,0)</f>
        <v>0</v>
      </c>
      <c r="I27" s="53"/>
      <c r="J27" s="53">
        <f>ROUND(J12+J17+J22/6,0)-1</f>
        <v>8</v>
      </c>
      <c r="K27" s="53"/>
      <c r="L27" s="53">
        <f>SUM(D27:K27)</f>
        <v>331</v>
      </c>
      <c r="M27" s="54"/>
    </row>
    <row r="28" spans="2:13" s="28" customFormat="1" x14ac:dyDescent="0.25">
      <c r="B28" s="11" t="s">
        <v>18</v>
      </c>
      <c r="D28" s="53">
        <f>ROUND(D13+D18+D23/6,0)</f>
        <v>41</v>
      </c>
      <c r="E28" s="53"/>
      <c r="F28" s="53">
        <f>ROUND(F13+F18+F23/6,0)</f>
        <v>4</v>
      </c>
      <c r="G28" s="53"/>
      <c r="H28" s="53">
        <f>ROUND(H13+H18+H23/6,0)</f>
        <v>0</v>
      </c>
      <c r="I28" s="53"/>
      <c r="J28" s="53">
        <f>ROUND(J13+J18+J23/6,0)</f>
        <v>1</v>
      </c>
      <c r="K28" s="53"/>
      <c r="L28" s="53">
        <f>SUM(D28:K28)</f>
        <v>46</v>
      </c>
      <c r="M28" s="54"/>
    </row>
    <row r="29" spans="2:13" s="28" customFormat="1" ht="13.8" thickBot="1" x14ac:dyDescent="0.3">
      <c r="B29" s="49" t="s">
        <v>16</v>
      </c>
      <c r="D29" s="55">
        <f>+D28+D27</f>
        <v>276</v>
      </c>
      <c r="E29" s="39"/>
      <c r="F29" s="55">
        <f>+F28+F27</f>
        <v>92</v>
      </c>
      <c r="G29" s="39"/>
      <c r="H29" s="55">
        <f>+H28+H27</f>
        <v>0</v>
      </c>
      <c r="I29" s="39"/>
      <c r="J29" s="55">
        <f>+J28+J27</f>
        <v>9</v>
      </c>
      <c r="K29" s="39"/>
      <c r="L29" s="55">
        <f>+L28+L27</f>
        <v>377</v>
      </c>
    </row>
    <row r="30" spans="2:13" ht="13.8" thickTop="1" x14ac:dyDescent="0.25"/>
    <row r="32" spans="2:13" x14ac:dyDescent="0.25">
      <c r="B32" s="73" t="s">
        <v>39</v>
      </c>
    </row>
    <row r="33" spans="2:2" ht="6" customHeight="1" x14ac:dyDescent="0.25">
      <c r="B33" s="73"/>
    </row>
    <row r="34" spans="2:2" x14ac:dyDescent="0.25">
      <c r="B34" s="73" t="s">
        <v>30</v>
      </c>
    </row>
    <row r="35" spans="2:2" x14ac:dyDescent="0.25">
      <c r="B35" s="73" t="s">
        <v>31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Dale, Larry</cp:lastModifiedBy>
  <cp:lastPrinted>2020-03-04T21:26:04Z</cp:lastPrinted>
  <dcterms:created xsi:type="dcterms:W3CDTF">2014-09-30T22:55:06Z</dcterms:created>
  <dcterms:modified xsi:type="dcterms:W3CDTF">2024-10-30T15:41:42Z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9" name="SV_HIDDEN_GRID_QUERY_LIST_4F35BF76-6C0D-4D9B-82B2-816C12CF3733">
    <vt:lpwstr>empty_477D106A-C0D6-4607-AEBD-E2C9D60EA279</vt:lpwstr>
  </property>
</Properties>
</file>