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RCacctcorp\Earnings Release\2023\4Q 2023\"/>
    </mc:Choice>
  </mc:AlternateContent>
  <xr:revisionPtr revIDLastSave="0" documentId="13_ncr:1_{0BCD6FD8-42BE-4D64-87E7-84592CC4E5C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tatements of Income" sheetId="5" r:id="rId1"/>
    <sheet name="Production Statistics" sheetId="2" r:id="rId2"/>
    <sheet name="Reserves" sheetId="3" r:id="rId3"/>
  </sheets>
  <definedNames>
    <definedName name="_xlnm.Print_Area" localSheetId="1">'Production Statistics'!$A$1:$H$32</definedName>
    <definedName name="_xlnm.Print_Area" localSheetId="0">'Statements of Income'!$B$1:$F$125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28" i="5" l="1"/>
  <c r="J27" i="3" l="1"/>
  <c r="D27" i="3"/>
  <c r="Q27" i="5"/>
  <c r="Q28" i="5"/>
  <c r="P28" i="5"/>
  <c r="P27" i="5"/>
  <c r="R28" i="5" l="1"/>
  <c r="X79" i="5" l="1"/>
  <c r="U79" i="5"/>
  <c r="R79" i="5"/>
  <c r="Q79" i="5"/>
  <c r="P79" i="5"/>
  <c r="O79" i="5"/>
  <c r="M27" i="5"/>
  <c r="S27" i="5"/>
  <c r="W28" i="5"/>
  <c r="W27" i="5"/>
  <c r="W79" i="5" s="1"/>
  <c r="V28" i="5"/>
  <c r="V27" i="5"/>
  <c r="V79" i="5" s="1"/>
  <c r="U28" i="5"/>
  <c r="Y27" i="5" l="1"/>
  <c r="W80" i="5"/>
  <c r="Y37" i="5"/>
  <c r="V26" i="2"/>
  <c r="U54" i="5" l="1"/>
  <c r="W64" i="5"/>
  <c r="U61" i="5"/>
  <c r="Y24" i="2" l="1"/>
  <c r="X24" i="2"/>
  <c r="W24" i="2"/>
  <c r="V24" i="2"/>
  <c r="U24" i="2"/>
  <c r="Y17" i="2"/>
  <c r="X17" i="2"/>
  <c r="W17" i="2"/>
  <c r="V17" i="2"/>
  <c r="U17" i="2"/>
  <c r="Y12" i="2"/>
  <c r="X12" i="2"/>
  <c r="W12" i="2"/>
  <c r="V12" i="2"/>
  <c r="U12" i="2"/>
  <c r="V80" i="5"/>
  <c r="Y116" i="5"/>
  <c r="U73" i="5"/>
  <c r="X99" i="5"/>
  <c r="W99" i="5"/>
  <c r="V99" i="5"/>
  <c r="U99" i="5"/>
  <c r="X98" i="5"/>
  <c r="W98" i="5"/>
  <c r="V98" i="5"/>
  <c r="U98" i="5"/>
  <c r="U100" i="5" s="1"/>
  <c r="X94" i="5"/>
  <c r="W94" i="5"/>
  <c r="V94" i="5"/>
  <c r="U94" i="5"/>
  <c r="X91" i="5"/>
  <c r="W91" i="5"/>
  <c r="V91" i="5"/>
  <c r="U91" i="5"/>
  <c r="X90" i="5"/>
  <c r="W90" i="5"/>
  <c r="V90" i="5"/>
  <c r="U90" i="5"/>
  <c r="X89" i="5"/>
  <c r="W89" i="5"/>
  <c r="V89" i="5"/>
  <c r="U89" i="5"/>
  <c r="X88" i="5"/>
  <c r="W88" i="5"/>
  <c r="V88" i="5"/>
  <c r="U88" i="5"/>
  <c r="X87" i="5"/>
  <c r="W87" i="5"/>
  <c r="V87" i="5"/>
  <c r="U87" i="5"/>
  <c r="X86" i="5"/>
  <c r="W86" i="5"/>
  <c r="V86" i="5"/>
  <c r="U86" i="5"/>
  <c r="X82" i="5"/>
  <c r="W82" i="5"/>
  <c r="V82" i="5"/>
  <c r="U82" i="5"/>
  <c r="X80" i="5"/>
  <c r="U80" i="5"/>
  <c r="X78" i="5"/>
  <c r="W78" i="5"/>
  <c r="V78" i="5"/>
  <c r="U78" i="5"/>
  <c r="X77" i="5"/>
  <c r="W77" i="5"/>
  <c r="V77" i="5"/>
  <c r="U77" i="5"/>
  <c r="X76" i="5"/>
  <c r="W76" i="5"/>
  <c r="V76" i="5"/>
  <c r="U76" i="5"/>
  <c r="X75" i="5"/>
  <c r="W75" i="5"/>
  <c r="V75" i="5"/>
  <c r="U75" i="5"/>
  <c r="X74" i="5"/>
  <c r="W74" i="5"/>
  <c r="V74" i="5"/>
  <c r="U74" i="5"/>
  <c r="X73" i="5"/>
  <c r="W73" i="5"/>
  <c r="V73" i="5"/>
  <c r="X72" i="5"/>
  <c r="W72" i="5"/>
  <c r="V72" i="5"/>
  <c r="U72" i="5"/>
  <c r="X71" i="5"/>
  <c r="W71" i="5"/>
  <c r="V71" i="5"/>
  <c r="U71" i="5"/>
  <c r="X70" i="5"/>
  <c r="W70" i="5"/>
  <c r="V70" i="5"/>
  <c r="U70" i="5"/>
  <c r="X69" i="5"/>
  <c r="W69" i="5"/>
  <c r="V69" i="5"/>
  <c r="U69" i="5"/>
  <c r="X65" i="5"/>
  <c r="W65" i="5"/>
  <c r="V65" i="5"/>
  <c r="U65" i="5"/>
  <c r="X64" i="5"/>
  <c r="V64" i="5"/>
  <c r="U64" i="5"/>
  <c r="X63" i="5"/>
  <c r="W63" i="5"/>
  <c r="V63" i="5"/>
  <c r="U63" i="5"/>
  <c r="X62" i="5"/>
  <c r="W62" i="5"/>
  <c r="V62" i="5"/>
  <c r="U62" i="5"/>
  <c r="X61" i="5"/>
  <c r="W61" i="5"/>
  <c r="V61" i="5"/>
  <c r="Y59" i="5"/>
  <c r="X59" i="5"/>
  <c r="W59" i="5"/>
  <c r="V59" i="5"/>
  <c r="U59" i="5"/>
  <c r="Y54" i="5"/>
  <c r="X53" i="5"/>
  <c r="X55" i="5" s="1"/>
  <c r="X104" i="5" s="1"/>
  <c r="W53" i="5"/>
  <c r="W55" i="5" s="1"/>
  <c r="W104" i="5" s="1"/>
  <c r="V53" i="5"/>
  <c r="V55" i="5" s="1"/>
  <c r="V104" i="5" s="1"/>
  <c r="U53" i="5"/>
  <c r="U55" i="5" s="1"/>
  <c r="U104" i="5" s="1"/>
  <c r="X47" i="5"/>
  <c r="W47" i="5"/>
  <c r="V47" i="5"/>
  <c r="U47" i="5"/>
  <c r="Y46" i="5"/>
  <c r="Y45" i="5"/>
  <c r="Y41" i="5"/>
  <c r="Y39" i="5"/>
  <c r="Y38" i="5"/>
  <c r="Y36" i="5"/>
  <c r="Y35" i="5"/>
  <c r="Y34" i="5"/>
  <c r="Y30" i="5"/>
  <c r="X29" i="5"/>
  <c r="W29" i="5"/>
  <c r="V29" i="5"/>
  <c r="U29" i="5"/>
  <c r="Y28" i="5"/>
  <c r="Y26" i="5"/>
  <c r="Y25" i="5"/>
  <c r="Y24" i="5"/>
  <c r="Y23" i="5"/>
  <c r="Y22" i="5"/>
  <c r="Y21" i="5"/>
  <c r="Y20" i="5"/>
  <c r="Y19" i="5"/>
  <c r="Y18" i="5"/>
  <c r="Y17" i="5"/>
  <c r="X14" i="5"/>
  <c r="W14" i="5"/>
  <c r="V14" i="5"/>
  <c r="U14" i="5"/>
  <c r="Y13" i="5"/>
  <c r="Y12" i="5"/>
  <c r="Y11" i="5"/>
  <c r="Y10" i="5"/>
  <c r="Y9" i="5"/>
  <c r="Y79" i="5" l="1"/>
  <c r="X31" i="5"/>
  <c r="X40" i="5" s="1"/>
  <c r="X42" i="5" s="1"/>
  <c r="X49" i="5" s="1"/>
  <c r="X66" i="5"/>
  <c r="U81" i="5"/>
  <c r="W66" i="5"/>
  <c r="V66" i="5"/>
  <c r="V81" i="5"/>
  <c r="W81" i="5"/>
  <c r="Y90" i="5"/>
  <c r="X100" i="5"/>
  <c r="Y75" i="5"/>
  <c r="Y94" i="5"/>
  <c r="W31" i="5"/>
  <c r="W40" i="5" s="1"/>
  <c r="W42" i="5" s="1"/>
  <c r="W49" i="5" s="1"/>
  <c r="V31" i="5"/>
  <c r="V40" i="5" s="1"/>
  <c r="V42" i="5" s="1"/>
  <c r="V49" i="5" s="1"/>
  <c r="U26" i="2"/>
  <c r="U66" i="5"/>
  <c r="Y62" i="5"/>
  <c r="Y86" i="5"/>
  <c r="Y70" i="5"/>
  <c r="Y64" i="5"/>
  <c r="Y88" i="5"/>
  <c r="Y69" i="5"/>
  <c r="Y78" i="5"/>
  <c r="Y71" i="5"/>
  <c r="Y77" i="5"/>
  <c r="Y99" i="5"/>
  <c r="Y63" i="5"/>
  <c r="Y87" i="5"/>
  <c r="Y80" i="5"/>
  <c r="Y26" i="2"/>
  <c r="X26" i="2"/>
  <c r="W26" i="2"/>
  <c r="Y65" i="5"/>
  <c r="Y89" i="5"/>
  <c r="Y73" i="5"/>
  <c r="Y72" i="5"/>
  <c r="Y74" i="5"/>
  <c r="Y91" i="5"/>
  <c r="X81" i="5"/>
  <c r="Y61" i="5"/>
  <c r="Y76" i="5"/>
  <c r="Y82" i="5"/>
  <c r="Y98" i="5"/>
  <c r="V100" i="5"/>
  <c r="W100" i="5"/>
  <c r="U31" i="5"/>
  <c r="U40" i="5" s="1"/>
  <c r="U42" i="5" s="1"/>
  <c r="U49" i="5" s="1"/>
  <c r="Y53" i="5"/>
  <c r="Y55" i="5" s="1"/>
  <c r="Y104" i="5" s="1"/>
  <c r="Y47" i="5"/>
  <c r="Y29" i="5"/>
  <c r="Y14" i="5"/>
  <c r="R88" i="5"/>
  <c r="Q88" i="5"/>
  <c r="P88" i="5"/>
  <c r="O88" i="5"/>
  <c r="Y81" i="5" l="1"/>
  <c r="U83" i="5"/>
  <c r="X83" i="5"/>
  <c r="X93" i="5" s="1"/>
  <c r="X95" i="5" s="1"/>
  <c r="X102" i="5" s="1"/>
  <c r="W83" i="5"/>
  <c r="W93" i="5" s="1"/>
  <c r="W95" i="5" s="1"/>
  <c r="W102" i="5" s="1"/>
  <c r="Y66" i="5"/>
  <c r="Y83" i="5" s="1"/>
  <c r="Y93" i="5" s="1"/>
  <c r="Y100" i="5"/>
  <c r="V83" i="5"/>
  <c r="V93" i="5" s="1"/>
  <c r="V95" i="5" s="1"/>
  <c r="V102" i="5" s="1"/>
  <c r="Y31" i="5"/>
  <c r="Y40" i="5" s="1"/>
  <c r="Y42" i="5" s="1"/>
  <c r="Y49" i="5" s="1"/>
  <c r="D28" i="3"/>
  <c r="S116" i="5"/>
  <c r="S36" i="5"/>
  <c r="Q75" i="5"/>
  <c r="Q64" i="5"/>
  <c r="P80" i="5"/>
  <c r="S79" i="5" l="1"/>
  <c r="Y95" i="5"/>
  <c r="Y102" i="5" s="1"/>
  <c r="U93" i="5"/>
  <c r="U95" i="5" s="1"/>
  <c r="U102" i="5" s="1"/>
  <c r="S88" i="5"/>
  <c r="O61" i="5"/>
  <c r="O73" i="5"/>
  <c r="F28" i="5" l="1"/>
  <c r="F26" i="5"/>
  <c r="S24" i="2"/>
  <c r="R24" i="2"/>
  <c r="Q24" i="2"/>
  <c r="P24" i="2"/>
  <c r="O24" i="2"/>
  <c r="S17" i="2"/>
  <c r="R17" i="2"/>
  <c r="Q17" i="2"/>
  <c r="P17" i="2"/>
  <c r="O17" i="2"/>
  <c r="S12" i="2"/>
  <c r="R12" i="2"/>
  <c r="Q12" i="2"/>
  <c r="P12" i="2"/>
  <c r="O12" i="2"/>
  <c r="R82" i="5"/>
  <c r="R73" i="5"/>
  <c r="Q80" i="5"/>
  <c r="S117" i="5"/>
  <c r="R99" i="5"/>
  <c r="Q99" i="5"/>
  <c r="P99" i="5"/>
  <c r="O99" i="5"/>
  <c r="R98" i="5"/>
  <c r="Q98" i="5"/>
  <c r="P98" i="5"/>
  <c r="O98" i="5"/>
  <c r="R94" i="5"/>
  <c r="Q94" i="5"/>
  <c r="P94" i="5"/>
  <c r="O94" i="5"/>
  <c r="R91" i="5"/>
  <c r="Q91" i="5"/>
  <c r="P91" i="5"/>
  <c r="O91" i="5"/>
  <c r="R90" i="5"/>
  <c r="Q90" i="5"/>
  <c r="P90" i="5"/>
  <c r="O90" i="5"/>
  <c r="R89" i="5"/>
  <c r="Q89" i="5"/>
  <c r="P89" i="5"/>
  <c r="O89" i="5"/>
  <c r="R87" i="5"/>
  <c r="Q87" i="5"/>
  <c r="P87" i="5"/>
  <c r="O87" i="5"/>
  <c r="R86" i="5"/>
  <c r="Q86" i="5"/>
  <c r="P86" i="5"/>
  <c r="O86" i="5"/>
  <c r="P82" i="5"/>
  <c r="R80" i="5"/>
  <c r="O80" i="5"/>
  <c r="R78" i="5"/>
  <c r="Q78" i="5"/>
  <c r="P78" i="5"/>
  <c r="O78" i="5"/>
  <c r="R77" i="5"/>
  <c r="Q77" i="5"/>
  <c r="P77" i="5"/>
  <c r="O77" i="5"/>
  <c r="R76" i="5"/>
  <c r="Q76" i="5"/>
  <c r="P76" i="5"/>
  <c r="O76" i="5"/>
  <c r="R75" i="5"/>
  <c r="P75" i="5"/>
  <c r="O75" i="5"/>
  <c r="R74" i="5"/>
  <c r="Q74" i="5"/>
  <c r="P74" i="5"/>
  <c r="O74" i="5"/>
  <c r="Q73" i="5"/>
  <c r="P73" i="5"/>
  <c r="R72" i="5"/>
  <c r="Q72" i="5"/>
  <c r="P72" i="5"/>
  <c r="O72" i="5"/>
  <c r="R71" i="5"/>
  <c r="Q71" i="5"/>
  <c r="P71" i="5"/>
  <c r="O71" i="5"/>
  <c r="R70" i="5"/>
  <c r="Q70" i="5"/>
  <c r="P70" i="5"/>
  <c r="O70" i="5"/>
  <c r="R69" i="5"/>
  <c r="Q69" i="5"/>
  <c r="P69" i="5"/>
  <c r="O69" i="5"/>
  <c r="R65" i="5"/>
  <c r="Q65" i="5"/>
  <c r="P65" i="5"/>
  <c r="O65" i="5"/>
  <c r="R64" i="5"/>
  <c r="P64" i="5"/>
  <c r="O64" i="5"/>
  <c r="R63" i="5"/>
  <c r="Q63" i="5"/>
  <c r="P63" i="5"/>
  <c r="O63" i="5"/>
  <c r="R62" i="5"/>
  <c r="Q62" i="5"/>
  <c r="P62" i="5"/>
  <c r="O62" i="5"/>
  <c r="R61" i="5"/>
  <c r="R66" i="5" s="1"/>
  <c r="Q61" i="5"/>
  <c r="P61" i="5"/>
  <c r="S59" i="5"/>
  <c r="R59" i="5"/>
  <c r="Q59" i="5"/>
  <c r="P59" i="5"/>
  <c r="O59" i="5"/>
  <c r="S54" i="5"/>
  <c r="R53" i="5"/>
  <c r="R55" i="5" s="1"/>
  <c r="R104" i="5" s="1"/>
  <c r="Q53" i="5"/>
  <c r="Q55" i="5" s="1"/>
  <c r="Q104" i="5" s="1"/>
  <c r="P53" i="5"/>
  <c r="P55" i="5" s="1"/>
  <c r="P104" i="5" s="1"/>
  <c r="O53" i="5"/>
  <c r="O55" i="5" s="1"/>
  <c r="O104" i="5" s="1"/>
  <c r="R47" i="5"/>
  <c r="Q47" i="5"/>
  <c r="P47" i="5"/>
  <c r="O47" i="5"/>
  <c r="S46" i="5"/>
  <c r="S99" i="5" s="1"/>
  <c r="S45" i="5"/>
  <c r="S41" i="5"/>
  <c r="S94" i="5" s="1"/>
  <c r="S39" i="5"/>
  <c r="S91" i="5" s="1"/>
  <c r="S38" i="5"/>
  <c r="S90" i="5" s="1"/>
  <c r="S37" i="5"/>
  <c r="S89" i="5" s="1"/>
  <c r="S35" i="5"/>
  <c r="S87" i="5" s="1"/>
  <c r="S34" i="5"/>
  <c r="S86" i="5" s="1"/>
  <c r="Q82" i="5"/>
  <c r="O82" i="5"/>
  <c r="R29" i="5"/>
  <c r="Q29" i="5"/>
  <c r="P29" i="5"/>
  <c r="O29" i="5"/>
  <c r="S26" i="5"/>
  <c r="S78" i="5" s="1"/>
  <c r="S25" i="5"/>
  <c r="S77" i="5" s="1"/>
  <c r="S24" i="5"/>
  <c r="S76" i="5" s="1"/>
  <c r="S23" i="5"/>
  <c r="S75" i="5" s="1"/>
  <c r="S22" i="5"/>
  <c r="S74" i="5" s="1"/>
  <c r="S21" i="5"/>
  <c r="S73" i="5" s="1"/>
  <c r="S20" i="5"/>
  <c r="S72" i="5" s="1"/>
  <c r="S19" i="5"/>
  <c r="S71" i="5" s="1"/>
  <c r="S18" i="5"/>
  <c r="S70" i="5" s="1"/>
  <c r="S17" i="5"/>
  <c r="S69" i="5" s="1"/>
  <c r="R14" i="5"/>
  <c r="Q14" i="5"/>
  <c r="P14" i="5"/>
  <c r="O14" i="5"/>
  <c r="S13" i="5"/>
  <c r="S65" i="5" s="1"/>
  <c r="S12" i="5"/>
  <c r="S64" i="5" s="1"/>
  <c r="S11" i="5"/>
  <c r="S63" i="5" s="1"/>
  <c r="S10" i="5"/>
  <c r="S62" i="5" s="1"/>
  <c r="S9" i="5"/>
  <c r="S61" i="5" s="1"/>
  <c r="L30" i="5"/>
  <c r="L82" i="5" s="1"/>
  <c r="K30" i="5"/>
  <c r="I30" i="5"/>
  <c r="L73" i="5"/>
  <c r="L61" i="5"/>
  <c r="L80" i="5"/>
  <c r="M45" i="5"/>
  <c r="L99" i="5"/>
  <c r="L98" i="5"/>
  <c r="L94" i="5"/>
  <c r="L91" i="5"/>
  <c r="L90" i="5"/>
  <c r="L89" i="5"/>
  <c r="L87" i="5"/>
  <c r="L86" i="5"/>
  <c r="L78" i="5"/>
  <c r="L77" i="5"/>
  <c r="L76" i="5"/>
  <c r="L75" i="5"/>
  <c r="L74" i="5"/>
  <c r="L72" i="5"/>
  <c r="L71" i="5"/>
  <c r="L70" i="5"/>
  <c r="L69" i="5"/>
  <c r="L65" i="5"/>
  <c r="L64" i="5"/>
  <c r="L63" i="5"/>
  <c r="L62" i="5"/>
  <c r="P66" i="5" l="1"/>
  <c r="O66" i="5"/>
  <c r="O26" i="2"/>
  <c r="S47" i="5"/>
  <c r="L81" i="5"/>
  <c r="O81" i="5"/>
  <c r="O83" i="5" s="1"/>
  <c r="Q66" i="5"/>
  <c r="P81" i="5"/>
  <c r="Q81" i="5"/>
  <c r="Q31" i="5"/>
  <c r="S66" i="5"/>
  <c r="S98" i="5"/>
  <c r="S100" i="5" s="1"/>
  <c r="R100" i="5"/>
  <c r="R81" i="5"/>
  <c r="O31" i="5"/>
  <c r="Q100" i="5"/>
  <c r="R26" i="2"/>
  <c r="Q26" i="2"/>
  <c r="S26" i="2"/>
  <c r="O100" i="5"/>
  <c r="P100" i="5"/>
  <c r="P31" i="5"/>
  <c r="R31" i="5"/>
  <c r="S14" i="5"/>
  <c r="S28" i="5"/>
  <c r="S80" i="5" s="1"/>
  <c r="S81" i="5" s="1"/>
  <c r="S53" i="5"/>
  <c r="S55" i="5" s="1"/>
  <c r="S104" i="5" s="1"/>
  <c r="S30" i="5"/>
  <c r="S82" i="5" s="1"/>
  <c r="L66" i="5"/>
  <c r="L100" i="5"/>
  <c r="O40" i="5" l="1"/>
  <c r="O42" i="5" s="1"/>
  <c r="O49" i="5" s="1"/>
  <c r="P40" i="5"/>
  <c r="P42" i="5" s="1"/>
  <c r="P49" i="5" s="1"/>
  <c r="R40" i="5"/>
  <c r="R42" i="5" s="1"/>
  <c r="R49" i="5" s="1"/>
  <c r="Q40" i="5"/>
  <c r="Q42" i="5" s="1"/>
  <c r="Q49" i="5" s="1"/>
  <c r="Q83" i="5"/>
  <c r="Q93" i="5" s="1"/>
  <c r="Q95" i="5" s="1"/>
  <c r="Q102" i="5" s="1"/>
  <c r="R83" i="5"/>
  <c r="L83" i="5"/>
  <c r="L93" i="5" s="1"/>
  <c r="L95" i="5" s="1"/>
  <c r="L102" i="5" s="1"/>
  <c r="S83" i="5"/>
  <c r="S93" i="5" s="1"/>
  <c r="S95" i="5" s="1"/>
  <c r="P83" i="5"/>
  <c r="P93" i="5" s="1"/>
  <c r="P95" i="5" s="1"/>
  <c r="P102" i="5" s="1"/>
  <c r="S29" i="5"/>
  <c r="S31" i="5" s="1"/>
  <c r="R93" i="5" l="1"/>
  <c r="R95" i="5" s="1"/>
  <c r="R102" i="5" s="1"/>
  <c r="S102" i="5"/>
  <c r="S40" i="5"/>
  <c r="S42" i="5" s="1"/>
  <c r="S49" i="5" s="1"/>
  <c r="O93" i="5"/>
  <c r="O95" i="5" s="1"/>
  <c r="O102" i="5" s="1"/>
  <c r="M54" i="5" l="1"/>
  <c r="G54" i="5" l="1"/>
  <c r="L53" i="5" l="1"/>
  <c r="L55" i="5" s="1"/>
  <c r="L104" i="5" s="1"/>
  <c r="K53" i="5"/>
  <c r="K55" i="5" s="1"/>
  <c r="K104" i="5" s="1"/>
  <c r="J53" i="5"/>
  <c r="J55" i="5" s="1"/>
  <c r="J104" i="5" s="1"/>
  <c r="I53" i="5"/>
  <c r="I55" i="5" s="1"/>
  <c r="I104" i="5" s="1"/>
  <c r="K82" i="5"/>
  <c r="J82" i="5"/>
  <c r="I82" i="5"/>
  <c r="M30" i="5"/>
  <c r="M82" i="5" s="1"/>
  <c r="K80" i="5"/>
  <c r="G30" i="5" l="1"/>
  <c r="I39" i="5"/>
  <c r="J28" i="5"/>
  <c r="I28" i="5"/>
  <c r="M26" i="5"/>
  <c r="M78" i="5" s="1"/>
  <c r="G26" i="5" l="1"/>
  <c r="K78" i="5"/>
  <c r="J78" i="5"/>
  <c r="I78" i="5"/>
  <c r="J80" i="5" l="1"/>
  <c r="M24" i="2" l="1"/>
  <c r="L24" i="2"/>
  <c r="K24" i="2"/>
  <c r="J24" i="2"/>
  <c r="I24" i="2"/>
  <c r="M17" i="2"/>
  <c r="L17" i="2"/>
  <c r="K17" i="2"/>
  <c r="J17" i="2"/>
  <c r="I17" i="2"/>
  <c r="M12" i="2"/>
  <c r="L12" i="2"/>
  <c r="K12" i="2"/>
  <c r="J12" i="2"/>
  <c r="I12" i="2"/>
  <c r="K65" i="5"/>
  <c r="I65" i="5"/>
  <c r="M117" i="5"/>
  <c r="K99" i="5"/>
  <c r="J99" i="5"/>
  <c r="I99" i="5"/>
  <c r="K98" i="5"/>
  <c r="J98" i="5"/>
  <c r="I98" i="5"/>
  <c r="K94" i="5"/>
  <c r="J94" i="5"/>
  <c r="I94" i="5"/>
  <c r="K91" i="5"/>
  <c r="J91" i="5"/>
  <c r="I91" i="5"/>
  <c r="K90" i="5"/>
  <c r="J90" i="5"/>
  <c r="I90" i="5"/>
  <c r="K89" i="5"/>
  <c r="J89" i="5"/>
  <c r="I89" i="5"/>
  <c r="K87" i="5"/>
  <c r="J87" i="5"/>
  <c r="I87" i="5"/>
  <c r="K86" i="5"/>
  <c r="J86" i="5"/>
  <c r="I86" i="5"/>
  <c r="K77" i="5"/>
  <c r="J77" i="5"/>
  <c r="I77" i="5"/>
  <c r="K76" i="5"/>
  <c r="J76" i="5"/>
  <c r="I76" i="5"/>
  <c r="K75" i="5"/>
  <c r="J75" i="5"/>
  <c r="I75" i="5"/>
  <c r="K74" i="5"/>
  <c r="J74" i="5"/>
  <c r="I74" i="5"/>
  <c r="K73" i="5"/>
  <c r="J73" i="5"/>
  <c r="I73" i="5"/>
  <c r="K72" i="5"/>
  <c r="J72" i="5"/>
  <c r="I72" i="5"/>
  <c r="K71" i="5"/>
  <c r="J71" i="5"/>
  <c r="I71" i="5"/>
  <c r="J70" i="5"/>
  <c r="I70" i="5"/>
  <c r="K69" i="5"/>
  <c r="J69" i="5"/>
  <c r="I69" i="5"/>
  <c r="K64" i="5"/>
  <c r="J64" i="5"/>
  <c r="I64" i="5"/>
  <c r="K63" i="5"/>
  <c r="J63" i="5"/>
  <c r="I63" i="5"/>
  <c r="K62" i="5"/>
  <c r="J62" i="5"/>
  <c r="I62" i="5"/>
  <c r="K61" i="5"/>
  <c r="J61" i="5"/>
  <c r="I61" i="5"/>
  <c r="M59" i="5"/>
  <c r="L59" i="5"/>
  <c r="K59" i="5"/>
  <c r="J59" i="5"/>
  <c r="I59" i="5"/>
  <c r="K47" i="5"/>
  <c r="J47" i="5"/>
  <c r="I47" i="5"/>
  <c r="L47" i="5"/>
  <c r="M41" i="5"/>
  <c r="M94" i="5" s="1"/>
  <c r="M39" i="5"/>
  <c r="M91" i="5" s="1"/>
  <c r="M38" i="5"/>
  <c r="M37" i="5"/>
  <c r="M35" i="5"/>
  <c r="M87" i="5" s="1"/>
  <c r="M34" i="5"/>
  <c r="L29" i="5"/>
  <c r="I80" i="5"/>
  <c r="M25" i="5"/>
  <c r="M24" i="5"/>
  <c r="M76" i="5" s="1"/>
  <c r="M23" i="5"/>
  <c r="M75" i="5" s="1"/>
  <c r="M22" i="5"/>
  <c r="M21" i="5"/>
  <c r="M73" i="5" s="1"/>
  <c r="M20" i="5"/>
  <c r="M19" i="5"/>
  <c r="M71" i="5" s="1"/>
  <c r="K29" i="5"/>
  <c r="M17" i="5"/>
  <c r="K14" i="5"/>
  <c r="J14" i="5"/>
  <c r="I14" i="5"/>
  <c r="L14" i="5"/>
  <c r="J65" i="5"/>
  <c r="M12" i="5"/>
  <c r="M11" i="5"/>
  <c r="M10" i="5"/>
  <c r="M9" i="5"/>
  <c r="M53" i="5" s="1"/>
  <c r="M55" i="5" s="1"/>
  <c r="M104" i="5" s="1"/>
  <c r="K31" i="5" l="1"/>
  <c r="L31" i="5"/>
  <c r="L40" i="5" s="1"/>
  <c r="L42" i="5" s="1"/>
  <c r="L49" i="5" s="1"/>
  <c r="J81" i="5"/>
  <c r="M86" i="5"/>
  <c r="M64" i="5"/>
  <c r="M74" i="5"/>
  <c r="K100" i="5"/>
  <c r="M90" i="5"/>
  <c r="M63" i="5"/>
  <c r="M98" i="5"/>
  <c r="J100" i="5"/>
  <c r="I66" i="5"/>
  <c r="M26" i="2"/>
  <c r="I26" i="2"/>
  <c r="J26" i="2"/>
  <c r="K26" i="2"/>
  <c r="L26" i="2"/>
  <c r="I100" i="5"/>
  <c r="M77" i="5"/>
  <c r="M89" i="5"/>
  <c r="M18" i="5"/>
  <c r="M70" i="5" s="1"/>
  <c r="K66" i="5"/>
  <c r="K70" i="5"/>
  <c r="K81" i="5" s="1"/>
  <c r="M61" i="5"/>
  <c r="M13" i="5"/>
  <c r="M65" i="5" s="1"/>
  <c r="M72" i="5"/>
  <c r="J66" i="5"/>
  <c r="M62" i="5"/>
  <c r="I81" i="5"/>
  <c r="K40" i="5"/>
  <c r="K42" i="5" s="1"/>
  <c r="K49" i="5" s="1"/>
  <c r="M46" i="5"/>
  <c r="M99" i="5" s="1"/>
  <c r="M28" i="5"/>
  <c r="M80" i="5" s="1"/>
  <c r="I29" i="5"/>
  <c r="I31" i="5" s="1"/>
  <c r="M69" i="5"/>
  <c r="J29" i="5"/>
  <c r="K83" i="5" l="1"/>
  <c r="K93" i="5" s="1"/>
  <c r="K95" i="5" s="1"/>
  <c r="K102" i="5" s="1"/>
  <c r="J83" i="5"/>
  <c r="I83" i="5"/>
  <c r="I93" i="5" s="1"/>
  <c r="M81" i="5"/>
  <c r="I40" i="5"/>
  <c r="I42" i="5" s="1"/>
  <c r="I49" i="5" s="1"/>
  <c r="J31" i="5"/>
  <c r="J40" i="5" s="1"/>
  <c r="J42" i="5" s="1"/>
  <c r="J49" i="5" s="1"/>
  <c r="M66" i="5"/>
  <c r="M83" i="5" s="1"/>
  <c r="M14" i="5"/>
  <c r="M47" i="5"/>
  <c r="M100" i="5"/>
  <c r="M29" i="5"/>
  <c r="F28" i="3"/>
  <c r="M31" i="5" l="1"/>
  <c r="M40" i="5" s="1"/>
  <c r="M42" i="5" s="1"/>
  <c r="M49" i="5" s="1"/>
  <c r="M93" i="5"/>
  <c r="J93" i="5"/>
  <c r="J95" i="5" s="1"/>
  <c r="J102" i="5" s="1"/>
  <c r="I95" i="5"/>
  <c r="I102" i="5" s="1"/>
  <c r="F24" i="2"/>
  <c r="F17" i="2"/>
  <c r="F12" i="2"/>
  <c r="F26" i="2" s="1"/>
  <c r="E24" i="2"/>
  <c r="E17" i="2"/>
  <c r="E12" i="2"/>
  <c r="M95" i="5" l="1"/>
  <c r="M102" i="5" s="1"/>
  <c r="E26" i="2"/>
  <c r="F82" i="5" l="1"/>
  <c r="F78" i="5" l="1"/>
  <c r="F99" i="5" l="1"/>
  <c r="F94" i="5"/>
  <c r="G41" i="5"/>
  <c r="F91" i="5"/>
  <c r="F89" i="5"/>
  <c r="F87" i="5"/>
  <c r="F86" i="5"/>
  <c r="F80" i="5"/>
  <c r="F77" i="5"/>
  <c r="F76" i="5"/>
  <c r="F75" i="5"/>
  <c r="F74" i="5"/>
  <c r="F73" i="5"/>
  <c r="F71" i="5"/>
  <c r="F70" i="5"/>
  <c r="F69" i="5"/>
  <c r="F65" i="5"/>
  <c r="F64" i="5"/>
  <c r="F63" i="5"/>
  <c r="F62" i="5"/>
  <c r="E53" i="5"/>
  <c r="E55" i="5" s="1"/>
  <c r="F61" i="5" l="1"/>
  <c r="F66" i="5" s="1"/>
  <c r="F53" i="5"/>
  <c r="F55" i="5" s="1"/>
  <c r="F104" i="5" s="1"/>
  <c r="G24" i="5"/>
  <c r="G20" i="5"/>
  <c r="G17" i="5"/>
  <c r="G11" i="5"/>
  <c r="G38" i="5"/>
  <c r="F90" i="5"/>
  <c r="G37" i="5"/>
  <c r="G12" i="5"/>
  <c r="G23" i="5"/>
  <c r="F81" i="5"/>
  <c r="G46" i="5"/>
  <c r="F47" i="5"/>
  <c r="F98" i="5"/>
  <c r="F100" i="5" s="1"/>
  <c r="G39" i="5"/>
  <c r="G35" i="5"/>
  <c r="G34" i="5"/>
  <c r="G25" i="5"/>
  <c r="G21" i="5"/>
  <c r="G19" i="5"/>
  <c r="F29" i="5"/>
  <c r="G10" i="5"/>
  <c r="G22" i="5"/>
  <c r="E47" i="5"/>
  <c r="G45" i="5"/>
  <c r="G18" i="5"/>
  <c r="F14" i="5"/>
  <c r="G9" i="5"/>
  <c r="G53" i="5" s="1"/>
  <c r="G55" i="5" s="1"/>
  <c r="F83" i="5" l="1"/>
  <c r="F93" i="5" s="1"/>
  <c r="F95" i="5" s="1"/>
  <c r="F102" i="5" s="1"/>
  <c r="F31" i="5"/>
  <c r="G47" i="5"/>
  <c r="F40" i="5"/>
  <c r="F42" i="5" s="1"/>
  <c r="F49" i="5" s="1"/>
  <c r="E82" i="5" l="1"/>
  <c r="E104" i="5"/>
  <c r="E78" i="5"/>
  <c r="G116" i="5"/>
  <c r="E61" i="5"/>
  <c r="E63" i="5"/>
  <c r="E99" i="5"/>
  <c r="E86" i="5"/>
  <c r="E72" i="5"/>
  <c r="E69" i="5"/>
  <c r="E70" i="5"/>
  <c r="E64" i="5"/>
  <c r="E62" i="5"/>
  <c r="E73" i="5"/>
  <c r="E74" i="5"/>
  <c r="E71" i="5"/>
  <c r="E76" i="5"/>
  <c r="E77" i="5"/>
  <c r="E90" i="5"/>
  <c r="E94" i="5"/>
  <c r="E89" i="5"/>
  <c r="E75" i="5"/>
  <c r="E87" i="5"/>
  <c r="E98" i="5"/>
  <c r="E91" i="5"/>
  <c r="G82" i="5" l="1"/>
  <c r="G104" i="5"/>
  <c r="G78" i="5"/>
  <c r="E100" i="5"/>
  <c r="G94" i="5"/>
  <c r="G99" i="5"/>
  <c r="G90" i="5"/>
  <c r="G89" i="5"/>
  <c r="G61" i="5"/>
  <c r="G71" i="5"/>
  <c r="G76" i="5"/>
  <c r="G62" i="5"/>
  <c r="G72" i="5"/>
  <c r="G75" i="5"/>
  <c r="G63" i="5"/>
  <c r="G69" i="5"/>
  <c r="G73" i="5"/>
  <c r="G77" i="5"/>
  <c r="G87" i="5"/>
  <c r="G64" i="5"/>
  <c r="G74" i="5"/>
  <c r="G98" i="5"/>
  <c r="G86" i="5"/>
  <c r="G70" i="5"/>
  <c r="G91" i="5"/>
  <c r="G100" i="5" l="1"/>
  <c r="E65" i="5"/>
  <c r="E66" i="5" s="1"/>
  <c r="G13" i="5"/>
  <c r="E14" i="5"/>
  <c r="G65" i="5" l="1"/>
  <c r="G66" i="5" s="1"/>
  <c r="G14" i="5"/>
  <c r="E80" i="5"/>
  <c r="E81" i="5" s="1"/>
  <c r="E83" i="5" s="1"/>
  <c r="G28" i="5"/>
  <c r="G29" i="5" s="1"/>
  <c r="E29" i="5"/>
  <c r="E93" i="5" l="1"/>
  <c r="E95" i="5" s="1"/>
  <c r="E102" i="5" s="1"/>
  <c r="E31" i="5"/>
  <c r="E40" i="5" s="1"/>
  <c r="E42" i="5" s="1"/>
  <c r="E49" i="5" s="1"/>
  <c r="G80" i="5"/>
  <c r="G81" i="5" s="1"/>
  <c r="G83" i="5" s="1"/>
  <c r="G31" i="5"/>
  <c r="G93" i="5" l="1"/>
  <c r="G95" i="5" s="1"/>
  <c r="G102" i="5" s="1"/>
  <c r="G40" i="5"/>
  <c r="G42" i="5" s="1"/>
  <c r="G49" i="5" s="1"/>
  <c r="H28" i="3" l="1"/>
  <c r="F27" i="3"/>
  <c r="G24" i="2" l="1"/>
  <c r="G17" i="2"/>
  <c r="G12" i="2"/>
  <c r="G26" i="2" l="1"/>
  <c r="J28" i="3" l="1"/>
  <c r="H27" i="3" l="1"/>
  <c r="H29" i="3" l="1"/>
  <c r="J24" i="3"/>
  <c r="H24" i="3"/>
  <c r="F24" i="3"/>
  <c r="D24" i="3"/>
  <c r="J19" i="3"/>
  <c r="H19" i="3"/>
  <c r="F19" i="3"/>
  <c r="D19" i="3"/>
  <c r="J14" i="3"/>
  <c r="H14" i="3"/>
  <c r="F14" i="3"/>
  <c r="D14" i="3"/>
  <c r="L23" i="3"/>
  <c r="L22" i="3"/>
  <c r="L18" i="3"/>
  <c r="L17" i="3"/>
  <c r="L13" i="3"/>
  <c r="L12" i="3"/>
  <c r="J29" i="3" l="1"/>
  <c r="D29" i="3"/>
  <c r="L28" i="3"/>
  <c r="F29" i="3"/>
  <c r="L27" i="3"/>
  <c r="L24" i="3"/>
  <c r="L19" i="3"/>
  <c r="L14" i="3"/>
  <c r="L29" i="3" l="1"/>
</calcChain>
</file>

<file path=xl/sharedStrings.xml><?xml version="1.0" encoding="utf-8"?>
<sst xmlns="http://schemas.openxmlformats.org/spreadsheetml/2006/main" count="183" uniqueCount="94">
  <si>
    <t>California Resources Corporation</t>
  </si>
  <si>
    <t>Total</t>
  </si>
  <si>
    <t>Reserves:</t>
  </si>
  <si>
    <t>San Joaquin</t>
  </si>
  <si>
    <t>Basin</t>
  </si>
  <si>
    <t>Los Angeles</t>
  </si>
  <si>
    <t>Ventura</t>
  </si>
  <si>
    <t>Sacramento</t>
  </si>
  <si>
    <t>Oil (MBbl/d)</t>
  </si>
  <si>
    <t>NGLs (MBbl/d)</t>
  </si>
  <si>
    <t xml:space="preserve">Natural Gas (MMcf/d)   </t>
  </si>
  <si>
    <t xml:space="preserve">   San Joaquin Basin</t>
  </si>
  <si>
    <t xml:space="preserve">   Los Angeles Basin</t>
  </si>
  <si>
    <t xml:space="preserve">   Ventura Basin</t>
  </si>
  <si>
    <t xml:space="preserve">   Sacramento Basin</t>
  </si>
  <si>
    <t xml:space="preserve">     Total</t>
  </si>
  <si>
    <t xml:space="preserve">   Total</t>
  </si>
  <si>
    <t>Proved Developed Reserves</t>
  </si>
  <si>
    <t>Proved Undeveloped Reserves</t>
  </si>
  <si>
    <t>Interest and debt expense, net</t>
  </si>
  <si>
    <t xml:space="preserve"> </t>
  </si>
  <si>
    <t xml:space="preserve">  Other revenue</t>
  </si>
  <si>
    <t xml:space="preserve">  Depreciation, depletion and amortization</t>
  </si>
  <si>
    <t xml:space="preserve">  Asset impairments</t>
  </si>
  <si>
    <t xml:space="preserve">  Taxes other than on income</t>
  </si>
  <si>
    <t xml:space="preserve">  Exploration expense</t>
  </si>
  <si>
    <t>(Loss) Income Before Income Taxes</t>
  </si>
  <si>
    <t>Net (Loss) Income</t>
  </si>
  <si>
    <t>Net (Loss) Income Attributable to Common Stock</t>
  </si>
  <si>
    <t>Operating (Loss) Income</t>
  </si>
  <si>
    <r>
      <t xml:space="preserve">Total Production (MBoe/d) </t>
    </r>
    <r>
      <rPr>
        <b/>
        <vertAlign val="superscript"/>
        <sz val="10"/>
        <rFont val="Arial"/>
        <family val="2"/>
      </rPr>
      <t>(a)</t>
    </r>
  </si>
  <si>
    <t>(a)  Natural gas volumes have been converted to Boe based on the equivalence of energy content between six Mcf of natural gas and one barrel of oil.</t>
  </si>
  <si>
    <t xml:space="preserve">      Barrels of oil equivalence does not necessarily result in price equivalence.</t>
  </si>
  <si>
    <t>Note: MBbl/d refers to thousands of barrels per day; MMcf/d refers to millions of cubic feet per day; MBoe/d refers to thousands of barrels of oil equivalent per day.</t>
  </si>
  <si>
    <r>
      <t>Consolidated Statements of Operations (in millions)</t>
    </r>
    <r>
      <rPr>
        <b/>
        <sz val="12"/>
        <rFont val="Arial"/>
        <family val="2"/>
      </rPr>
      <t>:</t>
    </r>
  </si>
  <si>
    <r>
      <t>Consolidated Statements of Operations ($/BOE)</t>
    </r>
    <r>
      <rPr>
        <b/>
        <sz val="12"/>
        <rFont val="Arial"/>
        <family val="2"/>
      </rPr>
      <t>:</t>
    </r>
  </si>
  <si>
    <t>Oil Reserves (MMBbl)</t>
  </si>
  <si>
    <t>NGLs Reserves (MMBbl)</t>
  </si>
  <si>
    <t>Natural Gas Reserves (Bcf)</t>
  </si>
  <si>
    <r>
      <t xml:space="preserve">Total Reserves (MMBoe) </t>
    </r>
    <r>
      <rPr>
        <b/>
        <vertAlign val="superscript"/>
        <sz val="10"/>
        <color theme="1"/>
        <rFont val="Arial"/>
        <family val="2"/>
      </rPr>
      <t>(a)</t>
    </r>
  </si>
  <si>
    <t>Note: MMBbl refers to millions of barrels; Bcf refers to billions of cubic feet; MMBoe refers to millions of barrels of oil equivalent.</t>
  </si>
  <si>
    <t xml:space="preserve">  Mezzanine equity</t>
  </si>
  <si>
    <t>Net (Income) Loss Attributable to Noncontrolling Interests</t>
  </si>
  <si>
    <t>Net income attributable to noncontrolling interests</t>
  </si>
  <si>
    <t>Net Production Statistics:</t>
  </si>
  <si>
    <t>Revenues</t>
  </si>
  <si>
    <t xml:space="preserve">  Electricity sales</t>
  </si>
  <si>
    <t>TY 2020</t>
  </si>
  <si>
    <t>10 MOS</t>
  </si>
  <si>
    <t>2 MOS</t>
  </si>
  <si>
    <t>Predecessor</t>
  </si>
  <si>
    <t>Successor</t>
  </si>
  <si>
    <t>Combined</t>
  </si>
  <si>
    <t>1Q 2021</t>
  </si>
  <si>
    <t>2Q 2021</t>
  </si>
  <si>
    <t>3Q 2021</t>
  </si>
  <si>
    <t>4Q 2021</t>
  </si>
  <si>
    <t xml:space="preserve">  Operating costs</t>
  </si>
  <si>
    <t>Net gain (loss) on early extinguishment of debt</t>
  </si>
  <si>
    <t>(Non-GAAP)</t>
  </si>
  <si>
    <t>Volumes</t>
  </si>
  <si>
    <t>Operating expenses</t>
  </si>
  <si>
    <t xml:space="preserve">  Electricity generation expenses</t>
  </si>
  <si>
    <t xml:space="preserve">  Accretion expense</t>
  </si>
  <si>
    <t xml:space="preserve">  Other operating expenses, net</t>
  </si>
  <si>
    <t xml:space="preserve">   Total operating expenses</t>
  </si>
  <si>
    <t xml:space="preserve">  Net (loss) gain from commodity derivatives</t>
  </si>
  <si>
    <t xml:space="preserve">  Gain on asset divestitures</t>
  </si>
  <si>
    <t>Reorganization items, net</t>
  </si>
  <si>
    <t>Income taxes</t>
  </si>
  <si>
    <t xml:space="preserve">  Stockholders' equity</t>
  </si>
  <si>
    <t>Non-operating (expenses) income</t>
  </si>
  <si>
    <t xml:space="preserve">  Oil, natural gas and NGL sales</t>
  </si>
  <si>
    <t xml:space="preserve">  Net proceeds (payments) on settled derivatives</t>
  </si>
  <si>
    <t xml:space="preserve">   Blended realized revenue</t>
  </si>
  <si>
    <t xml:space="preserve">   Blended realized price</t>
  </si>
  <si>
    <t>1Q 2022</t>
  </si>
  <si>
    <t>2Q 2022</t>
  </si>
  <si>
    <t>3Q 2022</t>
  </si>
  <si>
    <t>4Q 2022</t>
  </si>
  <si>
    <t xml:space="preserve">  General and administrative expenses</t>
  </si>
  <si>
    <t>1Q 2023</t>
  </si>
  <si>
    <t>2Q 2023</t>
  </si>
  <si>
    <t>3Q 2023</t>
  </si>
  <si>
    <t>4Q 2023</t>
  </si>
  <si>
    <t>Loss from investment in unconsolidated subsidiary</t>
  </si>
  <si>
    <t xml:space="preserve">   Total operating revenues</t>
  </si>
  <si>
    <t xml:space="preserve">  Transportation costs</t>
  </si>
  <si>
    <t>Other non-operating (expenses) income, net</t>
  </si>
  <si>
    <t xml:space="preserve">  Marketing of purchased natural gas</t>
  </si>
  <si>
    <t xml:space="preserve">  Purchased natural gas marketing expense</t>
  </si>
  <si>
    <t xml:space="preserve">  Net gain on asset divestitures</t>
  </si>
  <si>
    <t>At December 31, 2023</t>
  </si>
  <si>
    <t xml:space="preserve">  Carbon management business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</si>
</sst>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_(&quot;$&quot;* #,##0.00_);_(&quot;$&quot;* \(#,##0.00\);_(&quot;$&quot;* &quot;-&quot;_);_(@_)"/>
    <numFmt numFmtId="166" formatCode="_(* #,##0.00_);_(* \(#,##0.00\);_(* &quot;-&quot;_);_(@_)"/>
    <numFmt numFmtId="167" formatCode="_(* #,##0.0_);_(* \(#,##0.0\);_(* &quot;-&quot;??_);_(@_)"/>
    <numFmt numFmtId="168" formatCode="_(* #,##0.0_);_(* \(#,##0.0\);_(* &quot;-&quot;_);_(@_)"/>
    <numFmt numFmtId="169" formatCode="_(* #,##0.0_);_(* \(#,##0.0\);_(* &quot;-&quot;?_);_(@_)"/>
  </numFmts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10"/>
      <color theme="5" tint="0.5999938962981048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NumberFormat="1" applyFont="1"/>
    <xf numFmtId="42" fontId="2" fillId="0" borderId="0" xfId="0" applyNumberFormat="1" applyFont="1"/>
    <xf numFmtId="42" fontId="2" fillId="0" borderId="0" xfId="0" applyNumberFormat="1" applyFont="1" applyAlignment="1"/>
    <xf numFmtId="42" fontId="0" fillId="0" borderId="0" xfId="0" applyNumberFormat="1" applyAlignment="1"/>
    <xf numFmtId="0" fontId="0" fillId="0" borderId="0" xfId="0" applyAlignment="1"/>
    <xf numFmtId="0" fontId="3" fillId="0" borderId="0" xfId="0" applyNumberFormat="1" applyFont="1" applyAlignment="1">
      <alignment horizontal="left" indent="1"/>
    </xf>
    <xf numFmtId="42" fontId="0" fillId="0" borderId="0" xfId="0" applyNumberFormat="1"/>
    <xf numFmtId="41" fontId="3" fillId="0" borderId="1" xfId="0" applyNumberFormat="1" applyFont="1" applyBorder="1" applyAlignment="1"/>
    <xf numFmtId="41" fontId="3" fillId="0" borderId="0" xfId="0" applyNumberFormat="1" applyFont="1" applyAlignment="1"/>
    <xf numFmtId="0" fontId="1" fillId="0" borderId="0" xfId="0" applyFont="1"/>
    <xf numFmtId="0" fontId="0" fillId="0" borderId="0" xfId="0" applyBorder="1"/>
    <xf numFmtId="0" fontId="0" fillId="0" borderId="0" xfId="0" applyNumberFormat="1"/>
    <xf numFmtId="41" fontId="2" fillId="0" borderId="0" xfId="0" applyNumberFormat="1" applyFont="1"/>
    <xf numFmtId="41" fontId="3" fillId="0" borderId="0" xfId="0" applyNumberFormat="1" applyFont="1" applyBorder="1"/>
    <xf numFmtId="42" fontId="0" fillId="0" borderId="0" xfId="0" applyNumberFormat="1" applyBorder="1"/>
    <xf numFmtId="41" fontId="3" fillId="0" borderId="0" xfId="0" applyNumberFormat="1" applyFont="1" applyBorder="1" applyAlignment="1"/>
    <xf numFmtId="41" fontId="3" fillId="0" borderId="5" xfId="0" applyNumberFormat="1" applyFont="1" applyBorder="1" applyAlignment="1"/>
    <xf numFmtId="0" fontId="0" fillId="0" borderId="0" xfId="0" applyNumberFormat="1" applyFill="1" applyBorder="1"/>
    <xf numFmtId="41" fontId="3" fillId="0" borderId="5" xfId="0" applyNumberFormat="1" applyFont="1" applyBorder="1"/>
    <xf numFmtId="41" fontId="0" fillId="0" borderId="0" xfId="0" applyNumberFormat="1"/>
    <xf numFmtId="0" fontId="2" fillId="0" borderId="0" xfId="0" applyFont="1" applyBorder="1"/>
    <xf numFmtId="0" fontId="5" fillId="0" borderId="0" xfId="0" applyFont="1"/>
    <xf numFmtId="42" fontId="3" fillId="0" borderId="0" xfId="0" applyNumberFormat="1" applyFont="1" applyAlignment="1"/>
    <xf numFmtId="0" fontId="4" fillId="0" borderId="4" xfId="0" applyNumberFormat="1" applyFont="1" applyBorder="1"/>
    <xf numFmtId="0" fontId="4" fillId="0" borderId="4" xfId="0" applyFont="1" applyBorder="1" applyAlignment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Font="1"/>
    <xf numFmtId="42" fontId="1" fillId="0" borderId="0" xfId="0" applyNumberFormat="1" applyFont="1"/>
    <xf numFmtId="41" fontId="0" fillId="0" borderId="0" xfId="0" applyNumberFormat="1" applyBorder="1"/>
    <xf numFmtId="0" fontId="1" fillId="0" borderId="3" xfId="0" applyFont="1" applyBorder="1" applyAlignment="1">
      <alignment horizontal="center"/>
    </xf>
    <xf numFmtId="43" fontId="0" fillId="0" borderId="0" xfId="0" applyNumberFormat="1"/>
    <xf numFmtId="0" fontId="0" fillId="0" borderId="0" xfId="0" applyFont="1" applyBorder="1"/>
    <xf numFmtId="0" fontId="0" fillId="0" borderId="0" xfId="0" applyFill="1"/>
    <xf numFmtId="0" fontId="2" fillId="0" borderId="0" xfId="0" applyNumberFormat="1" applyFont="1" applyBorder="1" applyAlignment="1"/>
    <xf numFmtId="0" fontId="1" fillId="0" borderId="0" xfId="0" applyFont="1" applyAlignment="1"/>
    <xf numFmtId="0" fontId="3" fillId="0" borderId="0" xfId="0" applyNumberFormat="1" applyFont="1" applyAlignment="1"/>
    <xf numFmtId="0" fontId="1" fillId="0" borderId="0" xfId="0" applyFont="1" applyAlignment="1">
      <alignment horizontal="center"/>
    </xf>
    <xf numFmtId="41" fontId="0" fillId="0" borderId="0" xfId="0" applyNumberFormat="1" applyFont="1" applyBorder="1"/>
    <xf numFmtId="41" fontId="0" fillId="0" borderId="0" xfId="0" applyNumberFormat="1" applyFont="1"/>
    <xf numFmtId="0" fontId="0" fillId="0" borderId="4" xfId="0" applyFill="1" applyBorder="1"/>
    <xf numFmtId="164" fontId="0" fillId="0" borderId="0" xfId="0" applyNumberFormat="1"/>
    <xf numFmtId="165" fontId="3" fillId="0" borderId="0" xfId="0" applyNumberFormat="1" applyFont="1" applyAlignment="1"/>
    <xf numFmtId="43" fontId="3" fillId="0" borderId="0" xfId="0" applyNumberFormat="1" applyFont="1" applyBorder="1" applyAlignment="1"/>
    <xf numFmtId="43" fontId="3" fillId="0" borderId="3" xfId="0" applyNumberFormat="1" applyFont="1" applyBorder="1" applyAlignment="1"/>
    <xf numFmtId="165" fontId="3" fillId="0" borderId="2" xfId="0" applyNumberFormat="1" applyFont="1" applyBorder="1" applyAlignment="1"/>
    <xf numFmtId="0" fontId="4" fillId="0" borderId="0" xfId="0" applyNumberFormat="1" applyFont="1" applyBorder="1"/>
    <xf numFmtId="0" fontId="0" fillId="0" borderId="0" xfId="0" applyFill="1" applyBorder="1"/>
    <xf numFmtId="0" fontId="0" fillId="0" borderId="0" xfId="0" applyFont="1" applyFill="1" applyBorder="1"/>
    <xf numFmtId="41" fontId="0" fillId="0" borderId="5" xfId="0" applyNumberFormat="1" applyFont="1" applyBorder="1"/>
    <xf numFmtId="41" fontId="3" fillId="0" borderId="0" xfId="0" applyNumberFormat="1" applyFont="1" applyFill="1" applyAlignment="1"/>
    <xf numFmtId="43" fontId="3" fillId="0" borderId="0" xfId="0" applyNumberFormat="1" applyFont="1" applyFill="1" applyBorder="1" applyAlignment="1"/>
    <xf numFmtId="41" fontId="0" fillId="0" borderId="0" xfId="0" applyNumberFormat="1" applyFont="1" applyFill="1" applyBorder="1"/>
    <xf numFmtId="0" fontId="0" fillId="0" borderId="0" xfId="0" applyFont="1" applyFill="1"/>
    <xf numFmtId="41" fontId="0" fillId="0" borderId="2" xfId="0" applyNumberFormat="1" applyFont="1" applyBorder="1"/>
    <xf numFmtId="41" fontId="3" fillId="0" borderId="2" xfId="0" applyNumberFormat="1" applyFont="1" applyBorder="1"/>
    <xf numFmtId="165" fontId="3" fillId="0" borderId="0" xfId="0" applyNumberFormat="1" applyFont="1" applyFill="1" applyAlignment="1"/>
    <xf numFmtId="42" fontId="3" fillId="0" borderId="0" xfId="0" applyNumberFormat="1" applyFont="1" applyFill="1" applyAlignment="1"/>
    <xf numFmtId="41" fontId="3" fillId="0" borderId="1" xfId="0" applyNumberFormat="1" applyFont="1" applyFill="1" applyBorder="1" applyAlignment="1"/>
    <xf numFmtId="43" fontId="3" fillId="0" borderId="3" xfId="0" applyNumberFormat="1" applyFont="1" applyFill="1" applyBorder="1" applyAlignment="1"/>
    <xf numFmtId="43" fontId="0" fillId="0" borderId="0" xfId="0" applyNumberFormat="1" applyFill="1"/>
    <xf numFmtId="43" fontId="3" fillId="0" borderId="0" xfId="0" applyNumberFormat="1" applyFont="1" applyAlignment="1"/>
    <xf numFmtId="0" fontId="3" fillId="0" borderId="0" xfId="0" applyNumberFormat="1" applyFont="1"/>
    <xf numFmtId="41" fontId="3" fillId="0" borderId="3" xfId="0" applyNumberFormat="1" applyFont="1" applyBorder="1" applyAlignment="1"/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Font="1" applyBorder="1"/>
    <xf numFmtId="42" fontId="0" fillId="0" borderId="2" xfId="0" applyNumberFormat="1" applyBorder="1"/>
    <xf numFmtId="0" fontId="3" fillId="0" borderId="0" xfId="0" applyNumberFormat="1" applyFont="1" applyFill="1"/>
    <xf numFmtId="41" fontId="3" fillId="0" borderId="5" xfId="0" applyNumberFormat="1" applyFont="1" applyFill="1" applyBorder="1" applyAlignment="1"/>
    <xf numFmtId="41" fontId="0" fillId="0" borderId="0" xfId="0" applyNumberFormat="1" applyFill="1" applyBorder="1"/>
    <xf numFmtId="41" fontId="3" fillId="0" borderId="5" xfId="0" applyNumberFormat="1" applyFont="1" applyFill="1" applyBorder="1"/>
    <xf numFmtId="41" fontId="3" fillId="0" borderId="2" xfId="0" applyNumberFormat="1" applyFont="1" applyFill="1" applyBorder="1"/>
    <xf numFmtId="0" fontId="9" fillId="0" borderId="0" xfId="0" applyFont="1"/>
    <xf numFmtId="41" fontId="3" fillId="0" borderId="0" xfId="0" applyNumberFormat="1" applyFont="1" applyFill="1" applyBorder="1"/>
    <xf numFmtId="0" fontId="11" fillId="0" borderId="0" xfId="0" applyNumberFormat="1" applyFont="1"/>
    <xf numFmtId="0" fontId="12" fillId="0" borderId="0" xfId="0" applyFont="1" applyAlignment="1">
      <alignment vertical="center"/>
    </xf>
    <xf numFmtId="41" fontId="0" fillId="0" borderId="3" xfId="0" applyNumberFormat="1" applyFont="1" applyBorder="1"/>
    <xf numFmtId="165" fontId="3" fillId="0" borderId="0" xfId="0" applyNumberFormat="1" applyFont="1" applyFill="1" applyBorder="1" applyAlignment="1"/>
    <xf numFmtId="0" fontId="2" fillId="0" borderId="0" xfId="0" applyNumberFormat="1" applyFont="1" applyFill="1"/>
    <xf numFmtId="165" fontId="3" fillId="0" borderId="2" xfId="0" applyNumberFormat="1" applyFont="1" applyFill="1" applyBorder="1" applyAlignment="1"/>
    <xf numFmtId="0" fontId="7" fillId="0" borderId="0" xfId="0" applyFont="1" applyFill="1"/>
    <xf numFmtId="0" fontId="1" fillId="0" borderId="0" xfId="0" applyFont="1" applyBorder="1" applyAlignment="1">
      <alignment horizontal="center"/>
    </xf>
    <xf numFmtId="165" fontId="0" fillId="0" borderId="0" xfId="0" applyNumberFormat="1"/>
    <xf numFmtId="169" fontId="0" fillId="0" borderId="0" xfId="0" applyNumberFormat="1" applyFill="1"/>
    <xf numFmtId="167" fontId="0" fillId="0" borderId="0" xfId="0" applyNumberFormat="1" applyFill="1"/>
    <xf numFmtId="0" fontId="1" fillId="0" borderId="3" xfId="0" applyFont="1" applyFill="1" applyBorder="1" applyAlignment="1">
      <alignment horizontal="center"/>
    </xf>
    <xf numFmtId="0" fontId="4" fillId="0" borderId="0" xfId="0" applyFont="1" applyBorder="1" applyAlignment="1"/>
    <xf numFmtId="41" fontId="3" fillId="0" borderId="9" xfId="0" applyNumberFormat="1" applyFont="1" applyFill="1" applyBorder="1" applyAlignment="1"/>
    <xf numFmtId="0" fontId="0" fillId="0" borderId="7" xfId="0" applyFill="1" applyBorder="1"/>
    <xf numFmtId="43" fontId="3" fillId="0" borderId="7" xfId="0" applyNumberFormat="1" applyFont="1" applyFill="1" applyBorder="1" applyAlignment="1"/>
    <xf numFmtId="43" fontId="0" fillId="0" borderId="7" xfId="0" applyNumberFormat="1" applyFill="1" applyBorder="1"/>
    <xf numFmtId="43" fontId="3" fillId="0" borderId="8" xfId="0" applyNumberFormat="1" applyFont="1" applyFill="1" applyBorder="1" applyAlignment="1"/>
    <xf numFmtId="165" fontId="3" fillId="0" borderId="11" xfId="0" applyNumberFormat="1" applyFont="1" applyFill="1" applyBorder="1" applyAlignment="1"/>
    <xf numFmtId="42" fontId="3" fillId="0" borderId="7" xfId="0" applyNumberFormat="1" applyFont="1" applyFill="1" applyBorder="1" applyAlignment="1"/>
    <xf numFmtId="0" fontId="0" fillId="0" borderId="6" xfId="0" applyFill="1" applyBorder="1"/>
    <xf numFmtId="0" fontId="0" fillId="0" borderId="4" xfId="0" applyFill="1" applyBorder="1" applyAlignment="1">
      <alignment horizontal="center"/>
    </xf>
    <xf numFmtId="41" fontId="3" fillId="0" borderId="7" xfId="0" applyNumberFormat="1" applyFont="1" applyFill="1" applyBorder="1" applyAlignment="1"/>
    <xf numFmtId="41" fontId="3" fillId="0" borderId="10" xfId="0" applyNumberFormat="1" applyFont="1" applyFill="1" applyBorder="1" applyAlignment="1"/>
    <xf numFmtId="41" fontId="0" fillId="0" borderId="7" xfId="0" applyNumberFormat="1" applyFill="1" applyBorder="1"/>
    <xf numFmtId="41" fontId="3" fillId="0" borderId="10" xfId="0" applyNumberFormat="1" applyFont="1" applyFill="1" applyBorder="1"/>
    <xf numFmtId="41" fontId="3" fillId="0" borderId="11" xfId="0" applyNumberFormat="1" applyFont="1" applyFill="1" applyBorder="1"/>
    <xf numFmtId="41" fontId="3" fillId="0" borderId="7" xfId="0" applyNumberFormat="1" applyFont="1" applyFill="1" applyBorder="1"/>
    <xf numFmtId="0" fontId="0" fillId="0" borderId="6" xfId="0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67" fontId="0" fillId="0" borderId="0" xfId="1" applyNumberFormat="1" applyFont="1" applyFill="1"/>
    <xf numFmtId="166" fontId="0" fillId="0" borderId="0" xfId="0" applyNumberFormat="1" applyFill="1"/>
    <xf numFmtId="168" fontId="0" fillId="0" borderId="0" xfId="0" applyNumberFormat="1" applyFill="1"/>
    <xf numFmtId="43" fontId="3" fillId="0" borderId="12" xfId="0" applyNumberFormat="1" applyFont="1" applyFill="1" applyBorder="1" applyAlignment="1"/>
    <xf numFmtId="43" fontId="3" fillId="0" borderId="13" xfId="0" applyNumberFormat="1" applyFont="1" applyFill="1" applyBorder="1" applyAlignment="1"/>
    <xf numFmtId="43" fontId="3" fillId="0" borderId="1" xfId="0" applyNumberFormat="1" applyFont="1" applyBorder="1" applyAlignment="1"/>
    <xf numFmtId="43" fontId="3" fillId="0" borderId="1" xfId="0" applyNumberFormat="1" applyFont="1" applyFill="1" applyBorder="1" applyAlignment="1"/>
    <xf numFmtId="43" fontId="3" fillId="0" borderId="14" xfId="0" applyNumberFormat="1" applyFont="1" applyFill="1" applyBorder="1" applyAlignment="1"/>
    <xf numFmtId="43" fontId="3" fillId="0" borderId="9" xfId="0" applyNumberFormat="1" applyFont="1" applyFill="1" applyBorder="1" applyAlignment="1"/>
    <xf numFmtId="43" fontId="3" fillId="0" borderId="15" xfId="0" applyNumberFormat="1" applyFont="1" applyFill="1" applyBorder="1" applyAlignment="1"/>
    <xf numFmtId="42" fontId="0" fillId="0" borderId="0" xfId="0" applyNumberFormat="1" applyFill="1"/>
    <xf numFmtId="42" fontId="0" fillId="0" borderId="7" xfId="0" applyNumberFormat="1" applyFill="1" applyBorder="1"/>
    <xf numFmtId="41" fontId="0" fillId="0" borderId="0" xfId="0" applyNumberFormat="1" applyFill="1"/>
    <xf numFmtId="42" fontId="3" fillId="0" borderId="0" xfId="0" applyNumberFormat="1" applyFont="1" applyFill="1" applyBorder="1" applyAlignment="1"/>
    <xf numFmtId="44" fontId="3" fillId="0" borderId="3" xfId="2" applyFont="1" applyBorder="1" applyAlignment="1"/>
    <xf numFmtId="44" fontId="3" fillId="0" borderId="0" xfId="2" applyFont="1" applyBorder="1" applyAlignment="1"/>
    <xf numFmtId="44" fontId="3" fillId="0" borderId="8" xfId="2" applyFont="1" applyFill="1" applyBorder="1" applyAlignment="1"/>
    <xf numFmtId="0" fontId="3" fillId="0" borderId="0" xfId="0" applyNumberFormat="1" applyFont="1" applyFill="1" applyAlignment="1"/>
    <xf numFmtId="41" fontId="3" fillId="0" borderId="8" xfId="0" applyNumberFormat="1" applyFont="1" applyFill="1" applyBorder="1" applyAlignment="1"/>
    <xf numFmtId="0" fontId="0" fillId="0" borderId="0" xfId="0" applyFill="1" applyAlignment="1">
      <alignment horizontal="center"/>
    </xf>
    <xf numFmtId="0" fontId="0" fillId="0" borderId="4" xfId="0" quotePrefix="1" applyFill="1" applyBorder="1"/>
    <xf numFmtId="42" fontId="0" fillId="0" borderId="0" xfId="0" applyNumberFormat="1" applyFill="1" applyAlignment="1"/>
    <xf numFmtId="42" fontId="0" fillId="0" borderId="7" xfId="0" applyNumberFormat="1" applyFill="1" applyBorder="1" applyAlignment="1"/>
    <xf numFmtId="41" fontId="3" fillId="0" borderId="14" xfId="0" applyNumberFormat="1" applyFont="1" applyFill="1" applyBorder="1" applyAlignment="1"/>
    <xf numFmtId="41" fontId="0" fillId="0" borderId="7" xfId="0" applyNumberFormat="1" applyFont="1" applyFill="1" applyBorder="1"/>
    <xf numFmtId="42" fontId="0" fillId="0" borderId="2" xfId="0" applyNumberFormat="1" applyFill="1" applyBorder="1"/>
    <xf numFmtId="42" fontId="0" fillId="0" borderId="11" xfId="0" applyNumberFormat="1" applyFill="1" applyBorder="1"/>
    <xf numFmtId="165" fontId="3" fillId="0" borderId="7" xfId="0" applyNumberFormat="1" applyFont="1" applyFill="1" applyBorder="1" applyAlignment="1"/>
    <xf numFmtId="43" fontId="3" fillId="0" borderId="0" xfId="0" applyNumberFormat="1" applyFont="1" applyFill="1" applyAlignment="1"/>
    <xf numFmtId="44" fontId="3" fillId="0" borderId="3" xfId="2" applyFont="1" applyFill="1" applyBorder="1" applyAlignment="1"/>
    <xf numFmtId="43" fontId="0" fillId="0" borderId="0" xfId="1" applyFont="1" applyFill="1"/>
    <xf numFmtId="43" fontId="0" fillId="0" borderId="0" xfId="1" applyFont="1" applyFill="1" applyBorder="1"/>
    <xf numFmtId="167" fontId="0" fillId="2" borderId="0" xfId="1" applyNumberFormat="1" applyFont="1" applyFill="1"/>
    <xf numFmtId="41" fontId="3" fillId="0" borderId="13" xfId="0" applyNumberFormat="1" applyFont="1" applyFill="1" applyBorder="1" applyAlignment="1"/>
    <xf numFmtId="41" fontId="0" fillId="0" borderId="15" xfId="0" applyNumberFormat="1" applyFill="1" applyBorder="1"/>
    <xf numFmtId="43" fontId="0" fillId="2" borderId="0" xfId="1" applyNumberFormat="1" applyFont="1" applyFill="1"/>
    <xf numFmtId="0" fontId="3" fillId="0" borderId="0" xfId="0" applyFont="1" applyFill="1"/>
    <xf numFmtId="0" fontId="13" fillId="0" borderId="0" xfId="0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FAAD-F1F1-4A7C-BDB0-8C27F0A4E096}">
  <sheetPr>
    <pageSetUpPr fitToPage="1"/>
  </sheetPr>
  <dimension ref="A2:XAL132"/>
  <sheetViews>
    <sheetView showGridLines="0" tabSelected="1" zoomScale="82" zoomScaleNormal="82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3.2" outlineLevelRow="1" x14ac:dyDescent="0.25"/>
  <cols>
    <col min="1" max="1" width="4" customWidth="1"/>
    <col min="3" max="3" width="48.77734375" customWidth="1"/>
    <col min="4" max="4" width="2.77734375" customWidth="1"/>
    <col min="5" max="5" width="11.21875" style="34" customWidth="1"/>
    <col min="6" max="6" width="10.6640625" style="34" bestFit="1" customWidth="1"/>
    <col min="7" max="7" width="11" style="34" customWidth="1"/>
    <col min="8" max="8" width="2.6640625" customWidth="1"/>
    <col min="9" max="9" width="12.33203125" customWidth="1"/>
    <col min="10" max="11" width="8.77734375" customWidth="1"/>
    <col min="12" max="12" width="9.33203125" customWidth="1"/>
    <col min="13" max="13" width="9.44140625" customWidth="1"/>
    <col min="14" max="14" width="2.6640625" customWidth="1"/>
    <col min="15" max="19" width="9.44140625" customWidth="1"/>
    <col min="20" max="20" width="2.6640625" customWidth="1"/>
    <col min="21" max="21" width="12.21875" customWidth="1"/>
    <col min="25" max="26" width="10.44140625" bestFit="1" customWidth="1"/>
    <col min="27" max="27" width="8.77734375" customWidth="1"/>
  </cols>
  <sheetData>
    <row r="2" spans="1:25" ht="17.399999999999999" x14ac:dyDescent="0.3">
      <c r="B2" s="22" t="s">
        <v>0</v>
      </c>
    </row>
    <row r="3" spans="1:25" x14ac:dyDescent="0.25">
      <c r="A3" t="s">
        <v>20</v>
      </c>
      <c r="F3" s="48"/>
    </row>
    <row r="4" spans="1:25" x14ac:dyDescent="0.25">
      <c r="F4" s="90"/>
      <c r="G4" s="125" t="s">
        <v>52</v>
      </c>
    </row>
    <row r="5" spans="1:25" ht="16.2" thickBot="1" x14ac:dyDescent="0.35">
      <c r="B5" s="24" t="s">
        <v>34</v>
      </c>
      <c r="C5" s="26"/>
      <c r="D5" s="26"/>
      <c r="E5" s="41" t="s">
        <v>50</v>
      </c>
      <c r="F5" s="104" t="s">
        <v>51</v>
      </c>
      <c r="G5" s="126" t="s">
        <v>59</v>
      </c>
      <c r="I5" s="26"/>
      <c r="J5" s="26"/>
      <c r="K5" s="26"/>
      <c r="L5" s="26"/>
      <c r="M5" s="26"/>
      <c r="N5" s="11"/>
      <c r="O5" s="26"/>
      <c r="P5" s="26"/>
      <c r="Q5" s="26"/>
      <c r="R5" s="26"/>
      <c r="S5" s="26"/>
      <c r="U5" s="26"/>
      <c r="V5" s="26"/>
      <c r="W5" s="26"/>
      <c r="X5" s="26"/>
      <c r="Y5" s="26"/>
    </row>
    <row r="6" spans="1:25" ht="6" customHeight="1" thickTop="1" x14ac:dyDescent="0.25">
      <c r="B6" s="1"/>
      <c r="F6" s="90"/>
    </row>
    <row r="7" spans="1:25" x14ac:dyDescent="0.25">
      <c r="E7" s="87" t="s">
        <v>48</v>
      </c>
      <c r="F7" s="105" t="s">
        <v>49</v>
      </c>
      <c r="G7" s="87" t="s">
        <v>47</v>
      </c>
      <c r="I7" s="31" t="s">
        <v>53</v>
      </c>
      <c r="J7" s="31" t="s">
        <v>54</v>
      </c>
      <c r="K7" s="31" t="s">
        <v>55</v>
      </c>
      <c r="L7" s="31" t="s">
        <v>56</v>
      </c>
      <c r="M7" s="31" t="s">
        <v>1</v>
      </c>
      <c r="N7" s="83"/>
      <c r="O7" s="31" t="s">
        <v>76</v>
      </c>
      <c r="P7" s="31" t="s">
        <v>77</v>
      </c>
      <c r="Q7" s="31" t="s">
        <v>78</v>
      </c>
      <c r="R7" s="31" t="s">
        <v>79</v>
      </c>
      <c r="S7" s="31" t="s">
        <v>1</v>
      </c>
      <c r="U7" s="31" t="s">
        <v>81</v>
      </c>
      <c r="V7" s="31" t="s">
        <v>82</v>
      </c>
      <c r="W7" s="31" t="s">
        <v>83</v>
      </c>
      <c r="X7" s="31" t="s">
        <v>84</v>
      </c>
      <c r="Y7" s="31" t="s">
        <v>1</v>
      </c>
    </row>
    <row r="8" spans="1:25" x14ac:dyDescent="0.25">
      <c r="B8" s="1" t="s">
        <v>45</v>
      </c>
      <c r="C8" s="2"/>
      <c r="E8" s="127"/>
      <c r="F8" s="128"/>
      <c r="G8" s="127"/>
      <c r="I8" s="3"/>
      <c r="J8" s="4"/>
      <c r="K8" s="4"/>
      <c r="L8" s="4"/>
      <c r="M8" s="4"/>
      <c r="N8" s="4"/>
      <c r="O8" s="3"/>
      <c r="P8" s="4"/>
      <c r="Q8" s="4"/>
      <c r="R8" s="4"/>
      <c r="S8" s="4"/>
      <c r="U8" s="3"/>
      <c r="V8" s="4"/>
      <c r="W8" s="4"/>
      <c r="X8" s="4"/>
      <c r="Y8" s="4"/>
    </row>
    <row r="9" spans="1:25" x14ac:dyDescent="0.25">
      <c r="B9" s="37" t="s">
        <v>72</v>
      </c>
      <c r="C9" s="7"/>
      <c r="E9" s="58">
        <v>1092</v>
      </c>
      <c r="F9" s="95">
        <v>237</v>
      </c>
      <c r="G9" s="58">
        <f>E9+F9</f>
        <v>1329</v>
      </c>
      <c r="H9" s="7"/>
      <c r="I9" s="58">
        <v>432</v>
      </c>
      <c r="J9" s="23">
        <v>478</v>
      </c>
      <c r="K9" s="23">
        <v>549</v>
      </c>
      <c r="L9" s="23">
        <v>589</v>
      </c>
      <c r="M9" s="58">
        <f>+I9+J9+K9+L9</f>
        <v>2048</v>
      </c>
      <c r="N9" s="58"/>
      <c r="O9" s="58">
        <v>628</v>
      </c>
      <c r="P9" s="23">
        <v>718</v>
      </c>
      <c r="Q9" s="23">
        <v>680</v>
      </c>
      <c r="R9" s="23">
        <v>617</v>
      </c>
      <c r="S9" s="58">
        <f>+O9+P9+Q9+R9</f>
        <v>2643</v>
      </c>
      <c r="U9" s="58">
        <v>715</v>
      </c>
      <c r="V9" s="23">
        <v>447</v>
      </c>
      <c r="W9" s="23">
        <v>510</v>
      </c>
      <c r="X9" s="23">
        <v>483</v>
      </c>
      <c r="Y9" s="58">
        <f>+U9+V9+W9+X9</f>
        <v>2155</v>
      </c>
    </row>
    <row r="10" spans="1:25" x14ac:dyDescent="0.25">
      <c r="B10" s="37" t="s">
        <v>66</v>
      </c>
      <c r="C10" s="7"/>
      <c r="E10" s="51">
        <v>91</v>
      </c>
      <c r="F10" s="98">
        <v>-141</v>
      </c>
      <c r="G10" s="51">
        <f>E10+F10</f>
        <v>-50</v>
      </c>
      <c r="H10" s="7"/>
      <c r="I10" s="9">
        <v>-213</v>
      </c>
      <c r="J10" s="9">
        <v>-265</v>
      </c>
      <c r="K10" s="9">
        <v>-125</v>
      </c>
      <c r="L10" s="9">
        <v>-73</v>
      </c>
      <c r="M10" s="9">
        <f t="shared" ref="M10:M13" si="0">+I10+J10+K10+L10</f>
        <v>-676</v>
      </c>
      <c r="N10" s="9"/>
      <c r="O10" s="9">
        <v>-562</v>
      </c>
      <c r="P10" s="9">
        <v>-100</v>
      </c>
      <c r="Q10" s="9">
        <v>243</v>
      </c>
      <c r="R10" s="9">
        <v>-132</v>
      </c>
      <c r="S10" s="9">
        <f t="shared" ref="S10:S13" si="1">+O10+P10+Q10+R10</f>
        <v>-551</v>
      </c>
      <c r="U10" s="9">
        <v>42</v>
      </c>
      <c r="V10" s="9">
        <v>31</v>
      </c>
      <c r="W10" s="9">
        <v>-204</v>
      </c>
      <c r="X10" s="9">
        <v>119</v>
      </c>
      <c r="Y10" s="9">
        <f t="shared" ref="Y10:Y13" si="2">+U10+V10+W10+X10</f>
        <v>-12</v>
      </c>
    </row>
    <row r="11" spans="1:25" x14ac:dyDescent="0.25">
      <c r="B11" s="37" t="s">
        <v>89</v>
      </c>
      <c r="C11" s="7"/>
      <c r="E11" s="51">
        <v>124</v>
      </c>
      <c r="F11" s="98">
        <v>38</v>
      </c>
      <c r="G11" s="51">
        <f t="shared" ref="G11:G13" si="3">E11+F11</f>
        <v>162</v>
      </c>
      <c r="H11" s="7"/>
      <c r="I11" s="9">
        <v>98</v>
      </c>
      <c r="J11" s="9">
        <v>48</v>
      </c>
      <c r="K11" s="9">
        <v>95</v>
      </c>
      <c r="L11" s="9">
        <v>71</v>
      </c>
      <c r="M11" s="9">
        <f t="shared" si="0"/>
        <v>312</v>
      </c>
      <c r="N11" s="9"/>
      <c r="O11" s="9">
        <v>32</v>
      </c>
      <c r="P11" s="9">
        <v>75</v>
      </c>
      <c r="Q11" s="9">
        <v>113</v>
      </c>
      <c r="R11" s="9">
        <v>94</v>
      </c>
      <c r="S11" s="9">
        <f t="shared" si="1"/>
        <v>314</v>
      </c>
      <c r="U11" s="9">
        <v>184</v>
      </c>
      <c r="V11" s="9">
        <v>72</v>
      </c>
      <c r="W11" s="9">
        <v>78</v>
      </c>
      <c r="X11" s="9">
        <v>67</v>
      </c>
      <c r="Y11" s="9">
        <f t="shared" si="2"/>
        <v>401</v>
      </c>
    </row>
    <row r="12" spans="1:25" x14ac:dyDescent="0.25">
      <c r="B12" s="37" t="s">
        <v>46</v>
      </c>
      <c r="C12" s="7"/>
      <c r="E12" s="51">
        <v>86</v>
      </c>
      <c r="F12" s="98">
        <v>15</v>
      </c>
      <c r="G12" s="51">
        <f t="shared" si="3"/>
        <v>101</v>
      </c>
      <c r="H12" s="7"/>
      <c r="I12" s="9">
        <v>33</v>
      </c>
      <c r="J12" s="9">
        <v>33</v>
      </c>
      <c r="K12" s="9">
        <v>65</v>
      </c>
      <c r="L12" s="9">
        <v>41</v>
      </c>
      <c r="M12" s="9">
        <f t="shared" si="0"/>
        <v>172</v>
      </c>
      <c r="N12" s="9"/>
      <c r="O12" s="9">
        <v>34</v>
      </c>
      <c r="P12" s="9">
        <v>49</v>
      </c>
      <c r="Q12" s="9">
        <v>88</v>
      </c>
      <c r="R12" s="9">
        <v>90</v>
      </c>
      <c r="S12" s="9">
        <f t="shared" si="1"/>
        <v>261</v>
      </c>
      <c r="U12" s="9">
        <v>68</v>
      </c>
      <c r="V12" s="9">
        <v>34</v>
      </c>
      <c r="W12" s="9">
        <v>67</v>
      </c>
      <c r="X12" s="9">
        <v>42</v>
      </c>
      <c r="Y12" s="9">
        <f t="shared" si="2"/>
        <v>211</v>
      </c>
    </row>
    <row r="13" spans="1:25" x14ac:dyDescent="0.25">
      <c r="B13" s="37" t="s">
        <v>21</v>
      </c>
      <c r="C13" s="7"/>
      <c r="E13" s="51">
        <v>14</v>
      </c>
      <c r="F13" s="98">
        <v>3</v>
      </c>
      <c r="G13" s="51">
        <f t="shared" si="3"/>
        <v>17</v>
      </c>
      <c r="H13" s="7"/>
      <c r="I13" s="51">
        <v>13</v>
      </c>
      <c r="J13" s="9">
        <v>10</v>
      </c>
      <c r="K13" s="9">
        <v>4</v>
      </c>
      <c r="L13" s="9">
        <v>6</v>
      </c>
      <c r="M13" s="51">
        <f t="shared" si="0"/>
        <v>33</v>
      </c>
      <c r="N13" s="51"/>
      <c r="O13" s="51">
        <v>21</v>
      </c>
      <c r="P13" s="9">
        <v>5</v>
      </c>
      <c r="Q13" s="9">
        <v>1</v>
      </c>
      <c r="R13" s="9">
        <v>13</v>
      </c>
      <c r="S13" s="51">
        <f t="shared" si="1"/>
        <v>40</v>
      </c>
      <c r="U13" s="51">
        <v>15</v>
      </c>
      <c r="V13" s="9">
        <v>7</v>
      </c>
      <c r="W13" s="9">
        <v>9</v>
      </c>
      <c r="X13" s="9">
        <v>15</v>
      </c>
      <c r="Y13" s="51">
        <f t="shared" si="2"/>
        <v>46</v>
      </c>
    </row>
    <row r="14" spans="1:25" x14ac:dyDescent="0.25">
      <c r="B14" s="6" t="s">
        <v>86</v>
      </c>
      <c r="C14" s="7"/>
      <c r="E14" s="59">
        <f t="shared" ref="E14" si="4">SUM(E9:E13)</f>
        <v>1407</v>
      </c>
      <c r="F14" s="89">
        <f t="shared" ref="F14" si="5">SUM(F9:F13)</f>
        <v>152</v>
      </c>
      <c r="G14" s="59">
        <f>SUM(G9:G13)</f>
        <v>1559</v>
      </c>
      <c r="H14" s="7"/>
      <c r="I14" s="59">
        <f>SUM(I9:I13)</f>
        <v>363</v>
      </c>
      <c r="J14" s="59">
        <f>SUM(J9:J13)</f>
        <v>304</v>
      </c>
      <c r="K14" s="59">
        <f>SUM(K9:K13)</f>
        <v>588</v>
      </c>
      <c r="L14" s="59">
        <f>SUM(L9:L13)</f>
        <v>634</v>
      </c>
      <c r="M14" s="59">
        <f>SUM(M9:M13)</f>
        <v>1889</v>
      </c>
      <c r="N14" s="66"/>
      <c r="O14" s="59">
        <f>SUM(O9:O13)</f>
        <v>153</v>
      </c>
      <c r="P14" s="59">
        <f>SUM(P9:P13)</f>
        <v>747</v>
      </c>
      <c r="Q14" s="59">
        <f>SUM(Q9:Q13)</f>
        <v>1125</v>
      </c>
      <c r="R14" s="59">
        <f>SUM(R9:R13)</f>
        <v>682</v>
      </c>
      <c r="S14" s="59">
        <f>SUM(S9:S13)</f>
        <v>2707</v>
      </c>
      <c r="U14" s="59">
        <f>SUM(U9:U13)</f>
        <v>1024</v>
      </c>
      <c r="V14" s="59">
        <f>SUM(V9:V13)</f>
        <v>591</v>
      </c>
      <c r="W14" s="59">
        <f>SUM(W9:W13)</f>
        <v>460</v>
      </c>
      <c r="X14" s="59">
        <f>SUM(X9:X13)</f>
        <v>726</v>
      </c>
      <c r="Y14" s="59">
        <f>SUM(Y9:Y13)</f>
        <v>2801</v>
      </c>
    </row>
    <row r="15" spans="1:25" ht="12.6" customHeight="1" x14ac:dyDescent="0.25">
      <c r="B15" s="6"/>
      <c r="C15" s="7"/>
      <c r="E15" s="58"/>
      <c r="F15" s="95"/>
      <c r="G15" s="58"/>
      <c r="H15" s="7"/>
      <c r="I15" s="23"/>
      <c r="J15" s="23"/>
      <c r="K15" s="23"/>
      <c r="L15" s="23"/>
      <c r="M15" s="58"/>
      <c r="N15" s="58"/>
      <c r="O15" s="23"/>
      <c r="P15" s="23"/>
      <c r="Q15" s="23"/>
      <c r="R15" s="23"/>
      <c r="S15" s="58"/>
      <c r="U15" s="23"/>
      <c r="V15" s="23"/>
      <c r="W15" s="23"/>
      <c r="X15" s="23"/>
      <c r="Y15" s="58"/>
    </row>
    <row r="16" spans="1:25" x14ac:dyDescent="0.25">
      <c r="B16" s="1" t="s">
        <v>61</v>
      </c>
      <c r="C16" s="7"/>
      <c r="E16" s="58"/>
      <c r="F16" s="95"/>
      <c r="G16" s="58"/>
      <c r="H16" s="7"/>
      <c r="I16" s="23"/>
      <c r="J16" s="23"/>
      <c r="K16" s="23"/>
      <c r="L16" s="23"/>
      <c r="M16" s="58"/>
      <c r="N16" s="58"/>
      <c r="O16" s="23"/>
      <c r="P16" s="23"/>
      <c r="Q16" s="23"/>
      <c r="R16" s="23"/>
      <c r="S16" s="58"/>
      <c r="U16" s="23"/>
      <c r="V16" s="23"/>
      <c r="W16" s="23"/>
      <c r="X16" s="23"/>
      <c r="Y16" s="58"/>
    </row>
    <row r="17" spans="2:25" x14ac:dyDescent="0.25">
      <c r="B17" s="37" t="s">
        <v>57</v>
      </c>
      <c r="C17" s="7"/>
      <c r="E17" s="51">
        <v>511</v>
      </c>
      <c r="F17" s="98">
        <v>114</v>
      </c>
      <c r="G17" s="51">
        <f t="shared" ref="G17:G28" si="6">E17+F17</f>
        <v>625</v>
      </c>
      <c r="H17" s="7"/>
      <c r="I17" s="9">
        <v>164</v>
      </c>
      <c r="J17" s="9">
        <v>169</v>
      </c>
      <c r="K17" s="9">
        <v>190</v>
      </c>
      <c r="L17" s="9">
        <v>182</v>
      </c>
      <c r="M17" s="51">
        <f t="shared" ref="M17:M28" si="7">+I17+J17+K17+L17</f>
        <v>705</v>
      </c>
      <c r="N17" s="51"/>
      <c r="O17" s="9">
        <v>182</v>
      </c>
      <c r="P17" s="9">
        <v>190</v>
      </c>
      <c r="Q17" s="9">
        <v>214</v>
      </c>
      <c r="R17" s="9">
        <v>199</v>
      </c>
      <c r="S17" s="51">
        <f t="shared" ref="S17:S28" si="8">+O17+P17+Q17+R17</f>
        <v>785</v>
      </c>
      <c r="U17" s="9">
        <v>254</v>
      </c>
      <c r="V17" s="9">
        <v>186</v>
      </c>
      <c r="W17" s="9">
        <v>196</v>
      </c>
      <c r="X17" s="9">
        <v>186</v>
      </c>
      <c r="Y17" s="51">
        <f t="shared" ref="Y17:Y28" si="9">+U17+V17+W17+X17</f>
        <v>822</v>
      </c>
    </row>
    <row r="18" spans="2:25" x14ac:dyDescent="0.25">
      <c r="B18" s="37" t="s">
        <v>80</v>
      </c>
      <c r="C18" s="7"/>
      <c r="E18" s="51">
        <v>212</v>
      </c>
      <c r="F18" s="98">
        <v>40</v>
      </c>
      <c r="G18" s="51">
        <f t="shared" si="6"/>
        <v>252</v>
      </c>
      <c r="H18" s="7"/>
      <c r="I18" s="9">
        <v>48</v>
      </c>
      <c r="J18" s="9">
        <v>48</v>
      </c>
      <c r="K18" s="9">
        <v>51</v>
      </c>
      <c r="L18" s="9">
        <v>53</v>
      </c>
      <c r="M18" s="51">
        <f t="shared" si="7"/>
        <v>200</v>
      </c>
      <c r="N18" s="51"/>
      <c r="O18" s="9">
        <v>48</v>
      </c>
      <c r="P18" s="9">
        <v>56</v>
      </c>
      <c r="Q18" s="9">
        <v>59</v>
      </c>
      <c r="R18" s="9">
        <v>59</v>
      </c>
      <c r="S18" s="51">
        <f t="shared" si="8"/>
        <v>222</v>
      </c>
      <c r="U18" s="9">
        <v>65</v>
      </c>
      <c r="V18" s="9">
        <v>71</v>
      </c>
      <c r="W18" s="9">
        <v>65</v>
      </c>
      <c r="X18" s="9">
        <v>66</v>
      </c>
      <c r="Y18" s="51">
        <f t="shared" si="9"/>
        <v>267</v>
      </c>
    </row>
    <row r="19" spans="2:25" x14ac:dyDescent="0.25">
      <c r="B19" s="37" t="s">
        <v>22</v>
      </c>
      <c r="C19" s="7"/>
      <c r="E19" s="51">
        <v>328</v>
      </c>
      <c r="F19" s="98">
        <v>34</v>
      </c>
      <c r="G19" s="51">
        <f t="shared" si="6"/>
        <v>362</v>
      </c>
      <c r="H19" s="7"/>
      <c r="I19" s="9">
        <v>52</v>
      </c>
      <c r="J19" s="9">
        <v>54</v>
      </c>
      <c r="K19" s="9">
        <v>54</v>
      </c>
      <c r="L19" s="9">
        <v>53</v>
      </c>
      <c r="M19" s="51">
        <f t="shared" si="7"/>
        <v>213</v>
      </c>
      <c r="N19" s="51"/>
      <c r="O19" s="9">
        <v>49</v>
      </c>
      <c r="P19" s="9">
        <v>50</v>
      </c>
      <c r="Q19" s="9">
        <v>50</v>
      </c>
      <c r="R19" s="9">
        <v>49</v>
      </c>
      <c r="S19" s="51">
        <f t="shared" si="8"/>
        <v>198</v>
      </c>
      <c r="U19" s="9">
        <v>58</v>
      </c>
      <c r="V19" s="9">
        <v>56</v>
      </c>
      <c r="W19" s="9">
        <v>56</v>
      </c>
      <c r="X19" s="9">
        <v>55</v>
      </c>
      <c r="Y19" s="51">
        <f t="shared" si="9"/>
        <v>225</v>
      </c>
    </row>
    <row r="20" spans="2:25" x14ac:dyDescent="0.25">
      <c r="B20" s="37" t="s">
        <v>23</v>
      </c>
      <c r="C20" s="7"/>
      <c r="E20" s="51">
        <v>1736</v>
      </c>
      <c r="F20" s="98">
        <v>0</v>
      </c>
      <c r="G20" s="51">
        <f t="shared" si="6"/>
        <v>1736</v>
      </c>
      <c r="H20" s="7"/>
      <c r="I20" s="9">
        <v>3</v>
      </c>
      <c r="J20" s="9">
        <v>0</v>
      </c>
      <c r="K20" s="9">
        <v>25</v>
      </c>
      <c r="L20" s="9">
        <v>0</v>
      </c>
      <c r="M20" s="51">
        <f t="shared" si="7"/>
        <v>28</v>
      </c>
      <c r="N20" s="51"/>
      <c r="O20" s="9">
        <v>0</v>
      </c>
      <c r="P20" s="9">
        <v>2</v>
      </c>
      <c r="Q20" s="9">
        <v>0</v>
      </c>
      <c r="R20" s="9">
        <v>0</v>
      </c>
      <c r="S20" s="51">
        <f t="shared" si="8"/>
        <v>2</v>
      </c>
      <c r="U20" s="9">
        <v>3</v>
      </c>
      <c r="V20" s="9">
        <v>0</v>
      </c>
      <c r="W20" s="9">
        <v>0</v>
      </c>
      <c r="X20" s="9">
        <v>0</v>
      </c>
      <c r="Y20" s="51">
        <f t="shared" si="9"/>
        <v>3</v>
      </c>
    </row>
    <row r="21" spans="2:25" x14ac:dyDescent="0.25">
      <c r="B21" s="37" t="s">
        <v>24</v>
      </c>
      <c r="C21" s="7"/>
      <c r="E21" s="51">
        <v>134</v>
      </c>
      <c r="F21" s="98">
        <v>10</v>
      </c>
      <c r="G21" s="51">
        <f t="shared" si="6"/>
        <v>144</v>
      </c>
      <c r="H21" s="7"/>
      <c r="I21" s="9">
        <v>40</v>
      </c>
      <c r="J21" s="9">
        <v>37</v>
      </c>
      <c r="K21" s="9">
        <v>36</v>
      </c>
      <c r="L21" s="9">
        <v>32</v>
      </c>
      <c r="M21" s="9">
        <f t="shared" si="7"/>
        <v>145</v>
      </c>
      <c r="N21" s="9"/>
      <c r="O21" s="9">
        <v>34</v>
      </c>
      <c r="P21" s="9">
        <v>42</v>
      </c>
      <c r="Q21" s="9">
        <v>44</v>
      </c>
      <c r="R21" s="9">
        <v>42</v>
      </c>
      <c r="S21" s="9">
        <f t="shared" si="8"/>
        <v>162</v>
      </c>
      <c r="U21" s="9">
        <v>42</v>
      </c>
      <c r="V21" s="9">
        <v>42</v>
      </c>
      <c r="W21" s="9">
        <v>48</v>
      </c>
      <c r="X21" s="9">
        <v>33</v>
      </c>
      <c r="Y21" s="9">
        <f t="shared" si="9"/>
        <v>165</v>
      </c>
    </row>
    <row r="22" spans="2:25" x14ac:dyDescent="0.25">
      <c r="B22" s="37" t="s">
        <v>25</v>
      </c>
      <c r="C22" s="7"/>
      <c r="E22" s="51">
        <v>10</v>
      </c>
      <c r="F22" s="98">
        <v>1</v>
      </c>
      <c r="G22" s="51">
        <f t="shared" si="6"/>
        <v>11</v>
      </c>
      <c r="H22" s="7"/>
      <c r="I22" s="9">
        <v>2</v>
      </c>
      <c r="J22" s="9">
        <v>2</v>
      </c>
      <c r="K22" s="9">
        <v>2</v>
      </c>
      <c r="L22" s="9">
        <v>1</v>
      </c>
      <c r="M22" s="9">
        <f t="shared" si="7"/>
        <v>7</v>
      </c>
      <c r="N22" s="9"/>
      <c r="O22" s="9">
        <v>1</v>
      </c>
      <c r="P22" s="9">
        <v>1</v>
      </c>
      <c r="Q22" s="9">
        <v>1</v>
      </c>
      <c r="R22" s="9">
        <v>1</v>
      </c>
      <c r="S22" s="9">
        <f t="shared" si="8"/>
        <v>4</v>
      </c>
      <c r="U22" s="9">
        <v>1</v>
      </c>
      <c r="V22" s="9">
        <v>1</v>
      </c>
      <c r="W22" s="9">
        <v>0</v>
      </c>
      <c r="X22" s="9">
        <v>1</v>
      </c>
      <c r="Y22" s="9">
        <f t="shared" si="9"/>
        <v>3</v>
      </c>
    </row>
    <row r="23" spans="2:25" x14ac:dyDescent="0.25">
      <c r="B23" s="37" t="s">
        <v>90</v>
      </c>
      <c r="C23" s="7"/>
      <c r="E23" s="51">
        <v>78</v>
      </c>
      <c r="F23" s="98">
        <v>24</v>
      </c>
      <c r="G23" s="51">
        <f t="shared" si="6"/>
        <v>102</v>
      </c>
      <c r="H23" s="7"/>
      <c r="I23" s="9">
        <v>61</v>
      </c>
      <c r="J23" s="9">
        <v>30</v>
      </c>
      <c r="K23" s="9">
        <v>53</v>
      </c>
      <c r="L23" s="9">
        <v>52</v>
      </c>
      <c r="M23" s="9">
        <f t="shared" si="7"/>
        <v>196</v>
      </c>
      <c r="N23" s="9"/>
      <c r="O23" s="9">
        <v>21</v>
      </c>
      <c r="P23" s="9">
        <v>67</v>
      </c>
      <c r="Q23" s="9">
        <v>98</v>
      </c>
      <c r="R23" s="9">
        <v>87</v>
      </c>
      <c r="S23" s="9">
        <f t="shared" si="8"/>
        <v>273</v>
      </c>
      <c r="U23" s="9">
        <v>124</v>
      </c>
      <c r="V23" s="9">
        <v>27</v>
      </c>
      <c r="W23" s="9">
        <v>31</v>
      </c>
      <c r="X23" s="9">
        <v>39</v>
      </c>
      <c r="Y23" s="9">
        <f t="shared" si="9"/>
        <v>221</v>
      </c>
    </row>
    <row r="24" spans="2:25" x14ac:dyDescent="0.25">
      <c r="B24" s="37" t="s">
        <v>62</v>
      </c>
      <c r="C24" s="7"/>
      <c r="E24" s="51">
        <v>53</v>
      </c>
      <c r="F24" s="98">
        <v>10</v>
      </c>
      <c r="G24" s="51">
        <f t="shared" si="6"/>
        <v>63</v>
      </c>
      <c r="H24" s="7"/>
      <c r="I24" s="9">
        <v>24</v>
      </c>
      <c r="J24" s="9">
        <v>17</v>
      </c>
      <c r="K24" s="9">
        <v>29</v>
      </c>
      <c r="L24" s="9">
        <v>26</v>
      </c>
      <c r="M24" s="9">
        <f t="shared" si="7"/>
        <v>96</v>
      </c>
      <c r="N24" s="9"/>
      <c r="O24" s="9">
        <v>24</v>
      </c>
      <c r="P24" s="9">
        <v>33</v>
      </c>
      <c r="Q24" s="9">
        <v>42</v>
      </c>
      <c r="R24" s="9">
        <v>68</v>
      </c>
      <c r="S24" s="9">
        <f t="shared" si="8"/>
        <v>167</v>
      </c>
      <c r="U24" s="9">
        <v>49</v>
      </c>
      <c r="V24" s="9">
        <v>13</v>
      </c>
      <c r="W24" s="9">
        <v>23</v>
      </c>
      <c r="X24" s="9">
        <v>18</v>
      </c>
      <c r="Y24" s="9">
        <f t="shared" si="9"/>
        <v>103</v>
      </c>
    </row>
    <row r="25" spans="2:25" x14ac:dyDescent="0.25">
      <c r="B25" s="37" t="s">
        <v>87</v>
      </c>
      <c r="C25" s="7"/>
      <c r="E25" s="51">
        <v>35</v>
      </c>
      <c r="F25" s="98">
        <v>8</v>
      </c>
      <c r="G25" s="51">
        <f t="shared" si="6"/>
        <v>43</v>
      </c>
      <c r="H25" s="7"/>
      <c r="I25" s="9">
        <v>12</v>
      </c>
      <c r="J25" s="9">
        <v>14</v>
      </c>
      <c r="K25" s="9">
        <v>11</v>
      </c>
      <c r="L25" s="9">
        <v>14</v>
      </c>
      <c r="M25" s="9">
        <f t="shared" si="7"/>
        <v>51</v>
      </c>
      <c r="N25" s="9"/>
      <c r="O25" s="9">
        <v>12</v>
      </c>
      <c r="P25" s="9">
        <v>12</v>
      </c>
      <c r="Q25" s="9">
        <v>13</v>
      </c>
      <c r="R25" s="9">
        <v>13</v>
      </c>
      <c r="S25" s="9">
        <f t="shared" si="8"/>
        <v>50</v>
      </c>
      <c r="U25" s="9">
        <v>17</v>
      </c>
      <c r="V25" s="9">
        <v>16</v>
      </c>
      <c r="W25" s="9">
        <v>16</v>
      </c>
      <c r="X25" s="9">
        <v>18</v>
      </c>
      <c r="Y25" s="9">
        <f t="shared" si="9"/>
        <v>67</v>
      </c>
    </row>
    <row r="26" spans="2:25" x14ac:dyDescent="0.25">
      <c r="B26" s="37" t="s">
        <v>63</v>
      </c>
      <c r="C26" s="7"/>
      <c r="E26" s="51">
        <v>33</v>
      </c>
      <c r="F26" s="98">
        <f>8</f>
        <v>8</v>
      </c>
      <c r="G26" s="51">
        <f t="shared" ref="G26" si="10">E26+F26</f>
        <v>41</v>
      </c>
      <c r="H26" s="7"/>
      <c r="I26" s="9">
        <v>13</v>
      </c>
      <c r="J26" s="9">
        <v>13</v>
      </c>
      <c r="K26" s="9">
        <v>13</v>
      </c>
      <c r="L26" s="9">
        <v>11</v>
      </c>
      <c r="M26" s="9">
        <f t="shared" si="7"/>
        <v>50</v>
      </c>
      <c r="N26" s="9"/>
      <c r="O26" s="9">
        <v>11</v>
      </c>
      <c r="P26" s="9">
        <v>11</v>
      </c>
      <c r="Q26" s="9">
        <v>10</v>
      </c>
      <c r="R26" s="9">
        <v>11</v>
      </c>
      <c r="S26" s="9">
        <f t="shared" si="8"/>
        <v>43</v>
      </c>
      <c r="U26" s="9">
        <v>12</v>
      </c>
      <c r="V26" s="9">
        <v>11</v>
      </c>
      <c r="W26" s="9">
        <v>12</v>
      </c>
      <c r="X26" s="9">
        <v>11</v>
      </c>
      <c r="Y26" s="9">
        <f t="shared" si="9"/>
        <v>46</v>
      </c>
    </row>
    <row r="27" spans="2:25" x14ac:dyDescent="0.25">
      <c r="B27" s="37" t="s">
        <v>93</v>
      </c>
      <c r="C27" s="7"/>
      <c r="E27" s="51"/>
      <c r="F27" s="98"/>
      <c r="G27" s="51"/>
      <c r="H27" s="7"/>
      <c r="I27" s="9"/>
      <c r="J27" s="9"/>
      <c r="K27" s="9"/>
      <c r="L27" s="9"/>
      <c r="M27" s="9">
        <f t="shared" si="7"/>
        <v>0</v>
      </c>
      <c r="N27" s="9"/>
      <c r="O27" s="9"/>
      <c r="P27" s="9">
        <f>2</f>
        <v>2</v>
      </c>
      <c r="Q27" s="9">
        <f>1</f>
        <v>1</v>
      </c>
      <c r="R27" s="9">
        <v>11</v>
      </c>
      <c r="S27" s="9">
        <f t="shared" si="8"/>
        <v>14</v>
      </c>
      <c r="U27" s="9">
        <v>5</v>
      </c>
      <c r="V27" s="9">
        <f>8</f>
        <v>8</v>
      </c>
      <c r="W27" s="9">
        <f>7</f>
        <v>7</v>
      </c>
      <c r="X27" s="9">
        <v>17</v>
      </c>
      <c r="Y27" s="9">
        <f t="shared" si="9"/>
        <v>37</v>
      </c>
    </row>
    <row r="28" spans="2:25" x14ac:dyDescent="0.25">
      <c r="B28" s="37" t="s">
        <v>64</v>
      </c>
      <c r="C28" s="7"/>
      <c r="E28" s="51">
        <v>56</v>
      </c>
      <c r="F28" s="98">
        <f>17-8</f>
        <v>9</v>
      </c>
      <c r="G28" s="139">
        <f t="shared" si="6"/>
        <v>65</v>
      </c>
      <c r="H28" s="7"/>
      <c r="I28" s="64">
        <f>30-13</f>
        <v>17</v>
      </c>
      <c r="J28" s="64">
        <f>23-13</f>
        <v>10</v>
      </c>
      <c r="K28" s="64">
        <v>4</v>
      </c>
      <c r="L28" s="64">
        <v>-2</v>
      </c>
      <c r="M28" s="64">
        <f t="shared" si="7"/>
        <v>29</v>
      </c>
      <c r="N28" s="16"/>
      <c r="O28" s="64">
        <v>14</v>
      </c>
      <c r="P28" s="64">
        <f>9-2</f>
        <v>7</v>
      </c>
      <c r="Q28" s="64">
        <f>5-1</f>
        <v>4</v>
      </c>
      <c r="R28" s="64">
        <f>20-11</f>
        <v>9</v>
      </c>
      <c r="S28" s="64">
        <f t="shared" si="8"/>
        <v>34</v>
      </c>
      <c r="U28" s="64">
        <f>13-5</f>
        <v>8</v>
      </c>
      <c r="V28" s="64">
        <f>21-8</f>
        <v>13</v>
      </c>
      <c r="W28" s="64">
        <f>28-7</f>
        <v>21</v>
      </c>
      <c r="X28" s="64">
        <f>16+8</f>
        <v>24</v>
      </c>
      <c r="Y28" s="64">
        <f t="shared" si="9"/>
        <v>66</v>
      </c>
    </row>
    <row r="29" spans="2:25" x14ac:dyDescent="0.25">
      <c r="B29" s="6" t="s">
        <v>65</v>
      </c>
      <c r="C29" s="7"/>
      <c r="E29" s="129">
        <f>SUM(E17:E28)</f>
        <v>3186</v>
      </c>
      <c r="F29" s="89">
        <f>SUM(F17:F28)</f>
        <v>258</v>
      </c>
      <c r="G29" s="140">
        <f>SUM(G17:G28)</f>
        <v>3444</v>
      </c>
      <c r="H29" s="7"/>
      <c r="I29" s="8">
        <f>SUM(I17:I28)</f>
        <v>436</v>
      </c>
      <c r="J29" s="8">
        <f>SUM(J17:J28)</f>
        <v>394</v>
      </c>
      <c r="K29" s="8">
        <f>SUM(K17:K28)</f>
        <v>468</v>
      </c>
      <c r="L29" s="8">
        <f>SUM(L17:L28)</f>
        <v>422</v>
      </c>
      <c r="M29" s="59">
        <f>SUM(M17:M28)</f>
        <v>1720</v>
      </c>
      <c r="N29" s="16"/>
      <c r="O29" s="8">
        <f>SUM(O17:O28)</f>
        <v>396</v>
      </c>
      <c r="P29" s="8">
        <f>SUM(P17:P28)</f>
        <v>473</v>
      </c>
      <c r="Q29" s="8">
        <f>SUM(Q17:Q28)</f>
        <v>536</v>
      </c>
      <c r="R29" s="8">
        <f>SUM(R17:R28)</f>
        <v>549</v>
      </c>
      <c r="S29" s="59">
        <f>SUM(S17:S28)</f>
        <v>1954</v>
      </c>
      <c r="U29" s="8">
        <f>SUM(U17:U28)</f>
        <v>638</v>
      </c>
      <c r="V29" s="8">
        <f>SUM(V17:V28)</f>
        <v>444</v>
      </c>
      <c r="W29" s="8">
        <f>SUM(W17:W28)</f>
        <v>475</v>
      </c>
      <c r="X29" s="8">
        <f>SUM(X17:X28)</f>
        <v>468</v>
      </c>
      <c r="Y29" s="59">
        <f>SUM(Y17:Y28)</f>
        <v>2025</v>
      </c>
    </row>
    <row r="30" spans="2:25" s="34" customFormat="1" ht="12.45" customHeight="1" x14ac:dyDescent="0.25">
      <c r="B30" s="123" t="s">
        <v>91</v>
      </c>
      <c r="C30" s="116"/>
      <c r="E30" s="65">
        <v>0</v>
      </c>
      <c r="F30" s="124">
        <v>0</v>
      </c>
      <c r="G30" s="65">
        <f t="shared" ref="G30" si="11">E30+F30</f>
        <v>0</v>
      </c>
      <c r="H30" s="116"/>
      <c r="I30" s="65">
        <f>2</f>
        <v>2</v>
      </c>
      <c r="J30" s="65">
        <v>0</v>
      </c>
      <c r="K30" s="65">
        <f>2</f>
        <v>2</v>
      </c>
      <c r="L30" s="65">
        <f>120</f>
        <v>120</v>
      </c>
      <c r="M30" s="65">
        <f t="shared" ref="M30" si="12">+I30+J30+K30+L30</f>
        <v>124</v>
      </c>
      <c r="N30" s="66"/>
      <c r="O30" s="65">
        <v>54</v>
      </c>
      <c r="P30" s="65">
        <v>4</v>
      </c>
      <c r="Q30" s="65">
        <v>2</v>
      </c>
      <c r="R30" s="65">
        <v>-1</v>
      </c>
      <c r="S30" s="65">
        <f t="shared" ref="S30" si="13">+O30+P30+Q30+R30</f>
        <v>59</v>
      </c>
      <c r="U30" s="65">
        <v>7</v>
      </c>
      <c r="V30" s="65">
        <v>0</v>
      </c>
      <c r="W30" s="65">
        <v>0</v>
      </c>
      <c r="X30" s="65">
        <v>25</v>
      </c>
      <c r="Y30" s="65">
        <f t="shared" ref="Y30" si="14">+U30+V30+W30+X30</f>
        <v>32</v>
      </c>
    </row>
    <row r="31" spans="2:25" x14ac:dyDescent="0.25">
      <c r="B31" s="1" t="s">
        <v>29</v>
      </c>
      <c r="C31" s="7"/>
      <c r="E31" s="66">
        <f>+E14-E29-E30</f>
        <v>-1779</v>
      </c>
      <c r="F31" s="98">
        <f>+F14-F29-F30</f>
        <v>-106</v>
      </c>
      <c r="G31" s="66">
        <f>+G14-G29+G30</f>
        <v>-1885</v>
      </c>
      <c r="H31" s="7"/>
      <c r="I31" s="16">
        <f>+I14-I29+I30</f>
        <v>-71</v>
      </c>
      <c r="J31" s="16">
        <f>+J14-J29+J30</f>
        <v>-90</v>
      </c>
      <c r="K31" s="16">
        <f>+K14-K29+K30</f>
        <v>122</v>
      </c>
      <c r="L31" s="16">
        <f>+L14-L29+L30</f>
        <v>332</v>
      </c>
      <c r="M31" s="16">
        <f>+M14-M29+M30</f>
        <v>293</v>
      </c>
      <c r="N31" s="16"/>
      <c r="O31" s="16">
        <f>+O14-O29+O30</f>
        <v>-189</v>
      </c>
      <c r="P31" s="16">
        <f>+P14-P29+P30</f>
        <v>278</v>
      </c>
      <c r="Q31" s="16">
        <f>+Q14-Q29+Q30</f>
        <v>591</v>
      </c>
      <c r="R31" s="16">
        <f>+R14-R29+R30</f>
        <v>132</v>
      </c>
      <c r="S31" s="16">
        <f>+S14-S29+S30</f>
        <v>812</v>
      </c>
      <c r="U31" s="16">
        <f>+U14-U29+U30</f>
        <v>393</v>
      </c>
      <c r="V31" s="16">
        <f>+V14-V29+V30</f>
        <v>147</v>
      </c>
      <c r="W31" s="16">
        <f>+W14-W29+W30</f>
        <v>-15</v>
      </c>
      <c r="X31" s="16">
        <f>+X14-X29+X30</f>
        <v>283</v>
      </c>
      <c r="Y31" s="16">
        <f>+Y14-Y29+Y30</f>
        <v>808</v>
      </c>
    </row>
    <row r="32" spans="2:25" ht="4.2" customHeight="1" x14ac:dyDescent="0.25">
      <c r="B32" s="6"/>
      <c r="C32" s="7"/>
      <c r="E32" s="58"/>
      <c r="F32" s="95"/>
      <c r="G32" s="58"/>
      <c r="H32" s="7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U32" s="23"/>
      <c r="V32" s="23"/>
      <c r="W32" s="23"/>
      <c r="X32" s="23"/>
      <c r="Y32" s="23"/>
    </row>
    <row r="33" spans="2:25" ht="13.95" customHeight="1" x14ac:dyDescent="0.25">
      <c r="B33" s="1" t="s">
        <v>71</v>
      </c>
      <c r="C33" s="7"/>
      <c r="E33" s="58"/>
      <c r="F33" s="95"/>
      <c r="G33" s="58"/>
      <c r="H33" s="7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U33" s="23"/>
      <c r="V33" s="23"/>
      <c r="W33" s="23"/>
      <c r="X33" s="23"/>
      <c r="Y33" s="23"/>
    </row>
    <row r="34" spans="2:25" ht="13.95" customHeight="1" x14ac:dyDescent="0.25">
      <c r="B34" s="63" t="s">
        <v>68</v>
      </c>
      <c r="C34" s="7"/>
      <c r="E34" s="51">
        <v>4060</v>
      </c>
      <c r="F34" s="98">
        <v>-3</v>
      </c>
      <c r="G34" s="51">
        <f t="shared" ref="G34:G39" si="15">E34+F34</f>
        <v>4057</v>
      </c>
      <c r="H34" s="7"/>
      <c r="I34" s="9">
        <v>-2</v>
      </c>
      <c r="J34" s="9">
        <v>-2</v>
      </c>
      <c r="K34" s="9">
        <v>-1</v>
      </c>
      <c r="L34" s="9">
        <v>-1</v>
      </c>
      <c r="M34" s="9">
        <f t="shared" ref="M34:M39" si="16">+I34+J34+K34+L34</f>
        <v>-6</v>
      </c>
      <c r="N34" s="9"/>
      <c r="O34" s="9">
        <v>0</v>
      </c>
      <c r="P34" s="9">
        <v>0</v>
      </c>
      <c r="Q34" s="9">
        <v>0</v>
      </c>
      <c r="R34" s="9">
        <v>0</v>
      </c>
      <c r="S34" s="9">
        <f t="shared" ref="S34:S39" si="17">+O34+P34+Q34+R34</f>
        <v>0</v>
      </c>
      <c r="U34" s="9">
        <v>0</v>
      </c>
      <c r="V34" s="9">
        <v>0</v>
      </c>
      <c r="W34" s="9">
        <v>0</v>
      </c>
      <c r="X34" s="9">
        <v>0</v>
      </c>
      <c r="Y34" s="9">
        <f t="shared" ref="Y34:Y39" si="18">+U34+V34+W34+X34</f>
        <v>0</v>
      </c>
    </row>
    <row r="35" spans="2:25" ht="13.95" customHeight="1" x14ac:dyDescent="0.25">
      <c r="B35" s="63" t="s">
        <v>19</v>
      </c>
      <c r="C35" s="7"/>
      <c r="E35" s="51">
        <v>-206</v>
      </c>
      <c r="F35" s="98">
        <v>-11</v>
      </c>
      <c r="G35" s="51">
        <f t="shared" si="15"/>
        <v>-217</v>
      </c>
      <c r="H35" s="7"/>
      <c r="I35" s="9">
        <v>-13</v>
      </c>
      <c r="J35" s="9">
        <v>-13</v>
      </c>
      <c r="K35" s="9">
        <v>-14</v>
      </c>
      <c r="L35" s="9">
        <v>-14</v>
      </c>
      <c r="M35" s="9">
        <f t="shared" si="16"/>
        <v>-54</v>
      </c>
      <c r="N35" s="9"/>
      <c r="O35" s="9">
        <v>-13</v>
      </c>
      <c r="P35" s="9">
        <v>-13</v>
      </c>
      <c r="Q35" s="9">
        <v>-13</v>
      </c>
      <c r="R35" s="9">
        <v>-14</v>
      </c>
      <c r="S35" s="9">
        <f t="shared" si="17"/>
        <v>-53</v>
      </c>
      <c r="U35" s="9">
        <v>-14</v>
      </c>
      <c r="V35" s="9">
        <v>-14</v>
      </c>
      <c r="W35" s="9">
        <v>-15</v>
      </c>
      <c r="X35" s="9">
        <v>-13</v>
      </c>
      <c r="Y35" s="9">
        <f t="shared" si="18"/>
        <v>-56</v>
      </c>
    </row>
    <row r="36" spans="2:25" ht="13.95" customHeight="1" x14ac:dyDescent="0.25">
      <c r="B36" s="63" t="s">
        <v>85</v>
      </c>
      <c r="C36" s="7"/>
      <c r="E36" s="51"/>
      <c r="F36" s="98"/>
      <c r="G36" s="51"/>
      <c r="H36" s="7"/>
      <c r="I36" s="9"/>
      <c r="J36" s="9"/>
      <c r="K36" s="9"/>
      <c r="L36" s="9"/>
      <c r="M36" s="9"/>
      <c r="N36" s="9"/>
      <c r="O36" s="9">
        <v>0</v>
      </c>
      <c r="P36" s="9">
        <v>0</v>
      </c>
      <c r="Q36" s="9">
        <v>0</v>
      </c>
      <c r="R36" s="9">
        <v>-1</v>
      </c>
      <c r="S36" s="9">
        <f t="shared" ref="S36" si="19">+O36+P36+Q36+R36</f>
        <v>-1</v>
      </c>
      <c r="U36" s="9">
        <v>-2</v>
      </c>
      <c r="V36" s="9">
        <v>-1</v>
      </c>
      <c r="W36" s="9">
        <v>-3</v>
      </c>
      <c r="X36" s="9">
        <v>-3</v>
      </c>
      <c r="Y36" s="9">
        <f t="shared" si="18"/>
        <v>-9</v>
      </c>
    </row>
    <row r="37" spans="2:25" ht="13.95" customHeight="1" x14ac:dyDescent="0.25">
      <c r="B37" s="63" t="s">
        <v>58</v>
      </c>
      <c r="C37" s="7"/>
      <c r="E37" s="51">
        <v>5</v>
      </c>
      <c r="F37" s="98">
        <v>0</v>
      </c>
      <c r="G37" s="51">
        <f t="shared" si="15"/>
        <v>5</v>
      </c>
      <c r="H37" s="7"/>
      <c r="I37" s="9">
        <v>-2</v>
      </c>
      <c r="J37" s="9">
        <v>0</v>
      </c>
      <c r="K37" s="9">
        <v>0</v>
      </c>
      <c r="L37" s="9">
        <v>0</v>
      </c>
      <c r="M37" s="9">
        <f t="shared" si="16"/>
        <v>-2</v>
      </c>
      <c r="N37" s="9"/>
      <c r="O37" s="9">
        <v>0</v>
      </c>
      <c r="P37" s="9">
        <v>0</v>
      </c>
      <c r="Q37" s="9">
        <v>0</v>
      </c>
      <c r="R37" s="9">
        <v>0</v>
      </c>
      <c r="S37" s="9">
        <f t="shared" si="17"/>
        <v>0</v>
      </c>
      <c r="U37" s="9">
        <v>0</v>
      </c>
      <c r="V37" s="9">
        <v>0</v>
      </c>
      <c r="W37" s="9">
        <v>0</v>
      </c>
      <c r="X37" s="9">
        <v>-1</v>
      </c>
      <c r="Y37" s="9">
        <f t="shared" si="18"/>
        <v>-1</v>
      </c>
    </row>
    <row r="38" spans="2:25" ht="13.95" hidden="1" customHeight="1" x14ac:dyDescent="0.25">
      <c r="B38" s="63"/>
      <c r="C38" s="7"/>
      <c r="E38" s="51">
        <v>0</v>
      </c>
      <c r="F38" s="98"/>
      <c r="G38" s="51">
        <f t="shared" si="15"/>
        <v>0</v>
      </c>
      <c r="H38" s="7"/>
      <c r="I38" s="9">
        <v>0</v>
      </c>
      <c r="J38" s="9">
        <v>0</v>
      </c>
      <c r="K38" s="9">
        <v>0</v>
      </c>
      <c r="L38" s="9">
        <v>0</v>
      </c>
      <c r="M38" s="51">
        <f t="shared" si="16"/>
        <v>0</v>
      </c>
      <c r="N38" s="51"/>
      <c r="O38" s="9">
        <v>0</v>
      </c>
      <c r="P38" s="9">
        <v>0</v>
      </c>
      <c r="Q38" s="9">
        <v>0</v>
      </c>
      <c r="R38" s="9">
        <v>0</v>
      </c>
      <c r="S38" s="51">
        <f t="shared" si="17"/>
        <v>0</v>
      </c>
      <c r="U38" s="9">
        <v>0</v>
      </c>
      <c r="V38" s="9">
        <v>0</v>
      </c>
      <c r="W38" s="9">
        <v>0</v>
      </c>
      <c r="X38" s="9">
        <v>0</v>
      </c>
      <c r="Y38" s="51">
        <f t="shared" si="18"/>
        <v>0</v>
      </c>
    </row>
    <row r="39" spans="2:25" ht="13.95" customHeight="1" x14ac:dyDescent="0.25">
      <c r="B39" s="63" t="s">
        <v>88</v>
      </c>
      <c r="C39" s="7"/>
      <c r="E39" s="65">
        <v>-84</v>
      </c>
      <c r="F39" s="124">
        <v>-5</v>
      </c>
      <c r="G39" s="65">
        <f t="shared" si="15"/>
        <v>-89</v>
      </c>
      <c r="H39" s="7"/>
      <c r="I39" s="64">
        <f>-1</f>
        <v>-1</v>
      </c>
      <c r="J39" s="64">
        <v>-2</v>
      </c>
      <c r="K39" s="64">
        <v>0</v>
      </c>
      <c r="L39" s="64">
        <v>1</v>
      </c>
      <c r="M39" s="65">
        <f t="shared" si="16"/>
        <v>-2</v>
      </c>
      <c r="N39" s="66"/>
      <c r="O39" s="64">
        <v>1</v>
      </c>
      <c r="P39" s="64">
        <v>1</v>
      </c>
      <c r="Q39" s="64">
        <v>1</v>
      </c>
      <c r="R39" s="64">
        <v>0</v>
      </c>
      <c r="S39" s="65">
        <f t="shared" si="17"/>
        <v>3</v>
      </c>
      <c r="U39" s="64">
        <v>-1</v>
      </c>
      <c r="V39" s="64">
        <v>3</v>
      </c>
      <c r="W39" s="64">
        <v>3</v>
      </c>
      <c r="X39" s="64">
        <v>1</v>
      </c>
      <c r="Y39" s="65">
        <f t="shared" si="18"/>
        <v>6</v>
      </c>
    </row>
    <row r="40" spans="2:25" ht="14.7" customHeight="1" x14ac:dyDescent="0.25">
      <c r="B40" s="1" t="s">
        <v>26</v>
      </c>
      <c r="C40" s="7"/>
      <c r="E40" s="51">
        <f t="shared" ref="E40:G40" si="20">+E31+E34+E35+E37+E39+E38</f>
        <v>1996</v>
      </c>
      <c r="F40" s="98">
        <f t="shared" si="20"/>
        <v>-125</v>
      </c>
      <c r="G40" s="51">
        <f t="shared" si="20"/>
        <v>1871</v>
      </c>
      <c r="H40" s="7"/>
      <c r="I40" s="9">
        <f t="shared" ref="I40:M40" si="21">+I31+I34+I35+I37+I39+I38</f>
        <v>-89</v>
      </c>
      <c r="J40" s="9">
        <f t="shared" si="21"/>
        <v>-107</v>
      </c>
      <c r="K40" s="9">
        <f t="shared" si="21"/>
        <v>107</v>
      </c>
      <c r="L40" s="9">
        <f t="shared" si="21"/>
        <v>318</v>
      </c>
      <c r="M40" s="51">
        <f t="shared" si="21"/>
        <v>229</v>
      </c>
      <c r="N40" s="9"/>
      <c r="O40" s="9">
        <f>+O31+O34+O35+O36+O37+O39+O38</f>
        <v>-201</v>
      </c>
      <c r="P40" s="9">
        <f t="shared" ref="P40:S40" si="22">+P31+P34+P35+P36+P37+P39+P38</f>
        <v>266</v>
      </c>
      <c r="Q40" s="9">
        <f t="shared" si="22"/>
        <v>579</v>
      </c>
      <c r="R40" s="9">
        <f t="shared" si="22"/>
        <v>117</v>
      </c>
      <c r="S40" s="9">
        <f t="shared" si="22"/>
        <v>761</v>
      </c>
      <c r="U40" s="9">
        <f>+U31+U34+U35+U36+U37+U39+U38</f>
        <v>376</v>
      </c>
      <c r="V40" s="9">
        <f t="shared" ref="V40:Y40" si="23">+V31+V34+V35+V36+V37+V39+V38</f>
        <v>135</v>
      </c>
      <c r="W40" s="9">
        <f t="shared" si="23"/>
        <v>-30</v>
      </c>
      <c r="X40" s="9">
        <f t="shared" si="23"/>
        <v>267</v>
      </c>
      <c r="Y40" s="9">
        <f t="shared" si="23"/>
        <v>748</v>
      </c>
    </row>
    <row r="41" spans="2:25" ht="14.7" customHeight="1" x14ac:dyDescent="0.25">
      <c r="B41" s="37" t="s">
        <v>69</v>
      </c>
      <c r="C41" s="7"/>
      <c r="E41" s="65">
        <v>0</v>
      </c>
      <c r="F41" s="124">
        <v>0</v>
      </c>
      <c r="G41" s="51">
        <f t="shared" ref="G41" si="24">E41+F41</f>
        <v>0</v>
      </c>
      <c r="H41" s="7"/>
      <c r="I41" s="9">
        <v>0</v>
      </c>
      <c r="J41" s="9">
        <v>0</v>
      </c>
      <c r="K41" s="9">
        <v>0</v>
      </c>
      <c r="L41" s="9">
        <v>396</v>
      </c>
      <c r="M41" s="51">
        <f t="shared" ref="M41" si="25">+I41+J41+K41+L41</f>
        <v>396</v>
      </c>
      <c r="N41" s="51"/>
      <c r="O41" s="9">
        <v>26</v>
      </c>
      <c r="P41" s="9">
        <v>-76</v>
      </c>
      <c r="Q41" s="9">
        <v>-153</v>
      </c>
      <c r="R41" s="9">
        <v>-34</v>
      </c>
      <c r="S41" s="51">
        <f t="shared" ref="S41" si="26">+O41+P41+Q41+R41</f>
        <v>-237</v>
      </c>
      <c r="U41" s="9">
        <v>-75</v>
      </c>
      <c r="V41" s="9">
        <v>-38</v>
      </c>
      <c r="W41" s="9">
        <v>8</v>
      </c>
      <c r="X41" s="9">
        <v>-79</v>
      </c>
      <c r="Y41" s="51">
        <f t="shared" ref="Y41" si="27">+U41+V41+W41+X41</f>
        <v>-184</v>
      </c>
    </row>
    <row r="42" spans="2:25" s="10" customFormat="1" ht="14.7" customHeight="1" x14ac:dyDescent="0.25">
      <c r="B42" s="1" t="s">
        <v>27</v>
      </c>
      <c r="C42" s="29"/>
      <c r="D42" s="28"/>
      <c r="E42" s="70">
        <f t="shared" ref="E42" si="28">+E40+E41</f>
        <v>1996</v>
      </c>
      <c r="F42" s="99">
        <f t="shared" ref="F42" si="29">+F40+F41</f>
        <v>-125</v>
      </c>
      <c r="G42" s="70">
        <f>+G40+G41</f>
        <v>1871</v>
      </c>
      <c r="H42" s="7"/>
      <c r="I42" s="17">
        <f>+I40+I41</f>
        <v>-89</v>
      </c>
      <c r="J42" s="17">
        <f>+J40+J41</f>
        <v>-107</v>
      </c>
      <c r="K42" s="17">
        <f>+K40+K41</f>
        <v>107</v>
      </c>
      <c r="L42" s="17">
        <f>+L40+L41</f>
        <v>714</v>
      </c>
      <c r="M42" s="17">
        <f t="shared" ref="M42" si="30">+M40+M41</f>
        <v>625</v>
      </c>
      <c r="N42" s="16"/>
      <c r="O42" s="17">
        <f>+O40+O41</f>
        <v>-175</v>
      </c>
      <c r="P42" s="17">
        <f>+P40+P41</f>
        <v>190</v>
      </c>
      <c r="Q42" s="17">
        <f>+Q40+Q41</f>
        <v>426</v>
      </c>
      <c r="R42" s="17">
        <f>+R40+R41</f>
        <v>83</v>
      </c>
      <c r="S42" s="17">
        <f t="shared" ref="S42" si="31">+S40+S41</f>
        <v>524</v>
      </c>
      <c r="U42" s="17">
        <f>+U40+U41</f>
        <v>301</v>
      </c>
      <c r="V42" s="17">
        <f>+V40+V41</f>
        <v>97</v>
      </c>
      <c r="W42" s="17">
        <f>+W40+W41</f>
        <v>-22</v>
      </c>
      <c r="X42" s="17">
        <f>+X40+X41</f>
        <v>188</v>
      </c>
      <c r="Y42" s="17">
        <f t="shared" ref="Y42" si="32">+Y40+Y41</f>
        <v>564</v>
      </c>
    </row>
    <row r="43" spans="2:25" s="10" customFormat="1" ht="3.6" customHeight="1" x14ac:dyDescent="0.25">
      <c r="B43" s="1"/>
      <c r="C43" s="29"/>
      <c r="D43" s="28"/>
      <c r="E43" s="66"/>
      <c r="F43" s="98"/>
      <c r="G43" s="66"/>
      <c r="H43" s="7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U43" s="16"/>
      <c r="V43" s="16"/>
      <c r="W43" s="16"/>
      <c r="X43" s="16"/>
      <c r="Y43" s="16"/>
    </row>
    <row r="44" spans="2:25" s="10" customFormat="1" ht="14.7" customHeight="1" x14ac:dyDescent="0.25">
      <c r="B44" s="80" t="s">
        <v>42</v>
      </c>
      <c r="C44" s="29"/>
      <c r="D44" s="28"/>
      <c r="E44" s="53"/>
      <c r="F44" s="130"/>
      <c r="G44" s="53"/>
      <c r="H44" s="7"/>
      <c r="I44" s="16"/>
      <c r="J44" s="39"/>
      <c r="K44" s="39"/>
      <c r="L44" s="39"/>
      <c r="M44" s="16"/>
      <c r="N44" s="16"/>
      <c r="O44" s="16"/>
      <c r="P44" s="39"/>
      <c r="Q44" s="39"/>
      <c r="R44" s="39"/>
      <c r="S44" s="16"/>
      <c r="T44" s="67"/>
      <c r="U44" s="16"/>
      <c r="V44" s="39"/>
      <c r="W44" s="39"/>
      <c r="X44" s="39"/>
      <c r="Y44" s="16"/>
    </row>
    <row r="45" spans="2:25" s="10" customFormat="1" ht="14.7" customHeight="1" x14ac:dyDescent="0.25">
      <c r="B45" s="69" t="s">
        <v>41</v>
      </c>
      <c r="C45" s="29"/>
      <c r="D45" s="28"/>
      <c r="E45" s="51">
        <v>-94</v>
      </c>
      <c r="F45" s="98">
        <v>0</v>
      </c>
      <c r="G45" s="51">
        <f t="shared" ref="G45:G46" si="33">E45+F45</f>
        <v>-94</v>
      </c>
      <c r="H45" s="7"/>
      <c r="I45" s="16">
        <v>0</v>
      </c>
      <c r="J45" s="39">
        <v>0</v>
      </c>
      <c r="K45" s="39">
        <v>0</v>
      </c>
      <c r="L45" s="39">
        <v>0</v>
      </c>
      <c r="M45" s="9">
        <f t="shared" ref="M45" si="34">+I45+J45+K45+L45</f>
        <v>0</v>
      </c>
      <c r="N45" s="9"/>
      <c r="O45" s="16">
        <v>0</v>
      </c>
      <c r="P45" s="39">
        <v>0</v>
      </c>
      <c r="Q45" s="39">
        <v>0</v>
      </c>
      <c r="R45" s="39">
        <v>0</v>
      </c>
      <c r="S45" s="9">
        <f t="shared" ref="S45:S46" si="35">+O45+P45+Q45+R45</f>
        <v>0</v>
      </c>
      <c r="U45" s="16">
        <v>0</v>
      </c>
      <c r="V45" s="39">
        <v>0</v>
      </c>
      <c r="W45" s="39">
        <v>0</v>
      </c>
      <c r="X45" s="39">
        <v>0</v>
      </c>
      <c r="Y45" s="9">
        <f t="shared" ref="Y45:Y46" si="36">+U45+V45+W45+X45</f>
        <v>0</v>
      </c>
    </row>
    <row r="46" spans="2:25" s="10" customFormat="1" ht="14.7" customHeight="1" x14ac:dyDescent="0.25">
      <c r="B46" s="69" t="s">
        <v>70</v>
      </c>
      <c r="C46" s="29"/>
      <c r="D46" s="28"/>
      <c r="E46" s="65">
        <v>-13</v>
      </c>
      <c r="F46" s="124">
        <v>2</v>
      </c>
      <c r="G46" s="65">
        <f t="shared" si="33"/>
        <v>-11</v>
      </c>
      <c r="H46" s="7"/>
      <c r="I46" s="64">
        <v>-5</v>
      </c>
      <c r="J46" s="78">
        <v>-4</v>
      </c>
      <c r="K46" s="78">
        <v>-4</v>
      </c>
      <c r="L46" s="78">
        <v>0</v>
      </c>
      <c r="M46" s="9">
        <f t="shared" ref="M46" si="37">+I46+J46+K46+L46</f>
        <v>-13</v>
      </c>
      <c r="N46" s="9"/>
      <c r="O46" s="64">
        <v>0</v>
      </c>
      <c r="P46" s="78">
        <v>0</v>
      </c>
      <c r="Q46" s="78">
        <v>0</v>
      </c>
      <c r="R46" s="78">
        <v>0</v>
      </c>
      <c r="S46" s="9">
        <f t="shared" si="35"/>
        <v>0</v>
      </c>
      <c r="U46" s="64">
        <v>0</v>
      </c>
      <c r="V46" s="78">
        <v>0</v>
      </c>
      <c r="W46" s="78">
        <v>0</v>
      </c>
      <c r="X46" s="78">
        <v>0</v>
      </c>
      <c r="Y46" s="9">
        <f t="shared" si="36"/>
        <v>0</v>
      </c>
    </row>
    <row r="47" spans="2:25" s="10" customFormat="1" ht="14.7" customHeight="1" x14ac:dyDescent="0.25">
      <c r="B47" s="69" t="s">
        <v>43</v>
      </c>
      <c r="C47" s="29"/>
      <c r="D47" s="28"/>
      <c r="E47" s="66">
        <f t="shared" ref="E47" si="38">SUM(E45:E46)</f>
        <v>-107</v>
      </c>
      <c r="F47" s="98">
        <f t="shared" ref="F47" si="39">SUM(F45:F46)</f>
        <v>2</v>
      </c>
      <c r="G47" s="66">
        <f>SUM(G45:G46)</f>
        <v>-105</v>
      </c>
      <c r="H47" s="7"/>
      <c r="I47" s="16">
        <f>SUM(I45:I46)</f>
        <v>-5</v>
      </c>
      <c r="J47" s="16">
        <f>SUM(J45:J46)</f>
        <v>-4</v>
      </c>
      <c r="K47" s="16">
        <f>SUM(K45:K46)</f>
        <v>-4</v>
      </c>
      <c r="L47" s="16">
        <f>SUM(L45:L46)</f>
        <v>0</v>
      </c>
      <c r="M47" s="17">
        <f>SUM(M45:M46)</f>
        <v>-13</v>
      </c>
      <c r="N47" s="16"/>
      <c r="O47" s="16">
        <f>SUM(O45:O46)</f>
        <v>0</v>
      </c>
      <c r="P47" s="16">
        <f>SUM(P45:P46)</f>
        <v>0</v>
      </c>
      <c r="Q47" s="16">
        <f>SUM(Q45:Q46)</f>
        <v>0</v>
      </c>
      <c r="R47" s="16">
        <f>SUM(R45:R46)</f>
        <v>0</v>
      </c>
      <c r="S47" s="17">
        <f>SUM(S45:S46)</f>
        <v>0</v>
      </c>
      <c r="U47" s="16">
        <f>SUM(U45:U46)</f>
        <v>0</v>
      </c>
      <c r="V47" s="16">
        <f>SUM(V45:V46)</f>
        <v>0</v>
      </c>
      <c r="W47" s="16">
        <f>SUM(W45:W46)</f>
        <v>0</v>
      </c>
      <c r="X47" s="16">
        <f>SUM(X45:X46)</f>
        <v>0</v>
      </c>
      <c r="Y47" s="17">
        <f>SUM(Y45:Y46)</f>
        <v>0</v>
      </c>
    </row>
    <row r="48" spans="2:25" s="10" customFormat="1" ht="4.2" customHeight="1" x14ac:dyDescent="0.25">
      <c r="B48" s="69"/>
      <c r="C48" s="29"/>
      <c r="D48" s="28"/>
      <c r="E48" s="53"/>
      <c r="F48" s="130"/>
      <c r="G48" s="53"/>
      <c r="H48" s="7"/>
      <c r="I48" s="16"/>
      <c r="J48" s="39"/>
      <c r="K48" s="39"/>
      <c r="L48" s="39"/>
      <c r="M48" s="16"/>
      <c r="N48" s="16"/>
      <c r="O48" s="16"/>
      <c r="P48" s="39"/>
      <c r="Q48" s="39"/>
      <c r="R48" s="39"/>
      <c r="S48" s="16"/>
      <c r="U48" s="16"/>
      <c r="V48" s="39"/>
      <c r="W48" s="39"/>
      <c r="X48" s="39"/>
      <c r="Y48" s="16"/>
    </row>
    <row r="49" spans="1:25" ht="14.7" customHeight="1" thickBot="1" x14ac:dyDescent="0.3">
      <c r="B49" s="1" t="s">
        <v>28</v>
      </c>
      <c r="E49" s="131">
        <f t="shared" ref="E49:F49" si="40">+E42+E47</f>
        <v>1889</v>
      </c>
      <c r="F49" s="132">
        <f t="shared" si="40"/>
        <v>-123</v>
      </c>
      <c r="G49" s="131">
        <f>+G42+G47</f>
        <v>1766</v>
      </c>
      <c r="H49" s="7"/>
      <c r="I49" s="68">
        <f>+I42+I47</f>
        <v>-94</v>
      </c>
      <c r="J49" s="68">
        <f>+J42+J47</f>
        <v>-111</v>
      </c>
      <c r="K49" s="68">
        <f>+K42+K47</f>
        <v>103</v>
      </c>
      <c r="L49" s="68">
        <f>+L42+L47</f>
        <v>714</v>
      </c>
      <c r="M49" s="68">
        <f>+M42+M47</f>
        <v>612</v>
      </c>
      <c r="N49" s="15"/>
      <c r="O49" s="68">
        <f>+O42+O47</f>
        <v>-175</v>
      </c>
      <c r="P49" s="68">
        <f>+P42+P47</f>
        <v>190</v>
      </c>
      <c r="Q49" s="68">
        <f>+Q42+Q47</f>
        <v>426</v>
      </c>
      <c r="R49" s="68">
        <f>+R42+R47</f>
        <v>83</v>
      </c>
      <c r="S49" s="68">
        <f>+S42+S47</f>
        <v>524</v>
      </c>
      <c r="U49" s="68">
        <f>+U42+U47</f>
        <v>301</v>
      </c>
      <c r="V49" s="68">
        <f>+V42+V47</f>
        <v>97</v>
      </c>
      <c r="W49" s="68">
        <f>+W42+W47</f>
        <v>-22</v>
      </c>
      <c r="X49" s="68">
        <f>+X42+X47</f>
        <v>188</v>
      </c>
      <c r="Y49" s="68">
        <f>+Y42+Y47</f>
        <v>564</v>
      </c>
    </row>
    <row r="50" spans="1:25" ht="13.8" thickTop="1" x14ac:dyDescent="0.25">
      <c r="C50" s="11"/>
      <c r="F50" s="90"/>
      <c r="K50" s="34"/>
      <c r="Q50" s="34"/>
      <c r="W50" s="34"/>
    </row>
    <row r="51" spans="1:25" x14ac:dyDescent="0.25">
      <c r="C51" s="11"/>
      <c r="F51" s="90"/>
      <c r="K51" s="34"/>
      <c r="Q51" s="34"/>
      <c r="W51" s="34"/>
    </row>
    <row r="52" spans="1:25" x14ac:dyDescent="0.25">
      <c r="C52" s="11"/>
      <c r="F52" s="90"/>
      <c r="K52" s="34"/>
      <c r="Q52" s="34"/>
      <c r="W52" s="34"/>
    </row>
    <row r="53" spans="1:25" x14ac:dyDescent="0.25">
      <c r="B53" s="37" t="s">
        <v>72</v>
      </c>
      <c r="C53" s="11"/>
      <c r="E53" s="116">
        <f>E9</f>
        <v>1092</v>
      </c>
      <c r="F53" s="117">
        <f>F9</f>
        <v>237</v>
      </c>
      <c r="G53" s="116">
        <f>G9</f>
        <v>1329</v>
      </c>
      <c r="I53" s="7">
        <f>I9</f>
        <v>432</v>
      </c>
      <c r="J53" s="7">
        <f>J9</f>
        <v>478</v>
      </c>
      <c r="K53" s="116">
        <f>K9</f>
        <v>549</v>
      </c>
      <c r="L53" s="7">
        <f>L9</f>
        <v>589</v>
      </c>
      <c r="M53" s="7">
        <f>M9</f>
        <v>2048</v>
      </c>
      <c r="N53" s="7"/>
      <c r="O53" s="7">
        <f>O9</f>
        <v>628</v>
      </c>
      <c r="P53" s="7">
        <f>P9</f>
        <v>718</v>
      </c>
      <c r="Q53" s="116">
        <f>Q9</f>
        <v>680</v>
      </c>
      <c r="R53" s="7">
        <f>R9</f>
        <v>617</v>
      </c>
      <c r="S53" s="7">
        <f>S9</f>
        <v>2643</v>
      </c>
      <c r="U53" s="7">
        <f>U9</f>
        <v>715</v>
      </c>
      <c r="V53" s="7">
        <f>V9</f>
        <v>447</v>
      </c>
      <c r="W53" s="116">
        <f>W9</f>
        <v>510</v>
      </c>
      <c r="X53" s="7">
        <f>X9</f>
        <v>483</v>
      </c>
      <c r="Y53" s="7">
        <f>Y9</f>
        <v>2155</v>
      </c>
    </row>
    <row r="54" spans="1:25" x14ac:dyDescent="0.25">
      <c r="B54" t="s">
        <v>73</v>
      </c>
      <c r="C54" s="11"/>
      <c r="E54" s="118">
        <v>108</v>
      </c>
      <c r="F54" s="100">
        <v>-1</v>
      </c>
      <c r="G54" s="118">
        <f>E54+F54</f>
        <v>107</v>
      </c>
      <c r="H54" s="20"/>
      <c r="I54" s="20">
        <v>-39</v>
      </c>
      <c r="J54" s="20">
        <v>-82</v>
      </c>
      <c r="K54" s="118">
        <v>-99</v>
      </c>
      <c r="L54" s="20">
        <v>-99</v>
      </c>
      <c r="M54" s="20">
        <f>SUM(I54:L54)</f>
        <v>-319</v>
      </c>
      <c r="N54" s="20"/>
      <c r="O54" s="20">
        <v>-181</v>
      </c>
      <c r="P54" s="118">
        <v>-241</v>
      </c>
      <c r="Q54" s="118">
        <v>-182</v>
      </c>
      <c r="R54" s="118">
        <v>-134</v>
      </c>
      <c r="S54" s="20">
        <f>SUM(O54:R54)</f>
        <v>-738</v>
      </c>
      <c r="U54" s="118">
        <f>-65</f>
        <v>-65</v>
      </c>
      <c r="V54" s="118">
        <v>-63</v>
      </c>
      <c r="W54" s="118">
        <v>-95</v>
      </c>
      <c r="X54" s="118">
        <v>-49</v>
      </c>
      <c r="Y54" s="20">
        <f>SUM(U54:X54)</f>
        <v>-272</v>
      </c>
    </row>
    <row r="55" spans="1:25" ht="13.8" thickBot="1" x14ac:dyDescent="0.3">
      <c r="B55" t="s">
        <v>74</v>
      </c>
      <c r="C55" s="11"/>
      <c r="E55" s="131">
        <f>SUM(E53:E54)</f>
        <v>1200</v>
      </c>
      <c r="F55" s="132">
        <f>SUM(F53:F54)</f>
        <v>236</v>
      </c>
      <c r="G55" s="131">
        <f>SUM(G53:G54)</f>
        <v>1436</v>
      </c>
      <c r="I55" s="68">
        <f t="shared" ref="I55" si="41">SUM(I53:I54)</f>
        <v>393</v>
      </c>
      <c r="J55" s="68">
        <f t="shared" ref="J55" si="42">SUM(J53:J54)</f>
        <v>396</v>
      </c>
      <c r="K55" s="68">
        <f t="shared" ref="K55" si="43">SUM(K53:K54)</f>
        <v>450</v>
      </c>
      <c r="L55" s="68">
        <f t="shared" ref="L55" si="44">SUM(L53:L54)</f>
        <v>490</v>
      </c>
      <c r="M55" s="68">
        <f t="shared" ref="M55" si="45">SUM(M53:M54)</f>
        <v>1729</v>
      </c>
      <c r="N55" s="15"/>
      <c r="O55" s="68">
        <f t="shared" ref="O55:S55" si="46">SUM(O53:O54)</f>
        <v>447</v>
      </c>
      <c r="P55" s="68">
        <f t="shared" si="46"/>
        <v>477</v>
      </c>
      <c r="Q55" s="68">
        <f t="shared" si="46"/>
        <v>498</v>
      </c>
      <c r="R55" s="68">
        <f t="shared" si="46"/>
        <v>483</v>
      </c>
      <c r="S55" s="68">
        <f t="shared" si="46"/>
        <v>1905</v>
      </c>
      <c r="U55" s="68">
        <f t="shared" ref="U55:Y55" si="47">SUM(U53:U54)</f>
        <v>650</v>
      </c>
      <c r="V55" s="68">
        <f t="shared" si="47"/>
        <v>384</v>
      </c>
      <c r="W55" s="68">
        <f t="shared" si="47"/>
        <v>415</v>
      </c>
      <c r="X55" s="68">
        <f t="shared" si="47"/>
        <v>434</v>
      </c>
      <c r="Y55" s="68">
        <f t="shared" si="47"/>
        <v>1883</v>
      </c>
    </row>
    <row r="56" spans="1:25" ht="13.8" thickTop="1" x14ac:dyDescent="0.25">
      <c r="F56" s="90"/>
      <c r="I56" s="10"/>
      <c r="J56" s="10"/>
      <c r="K56" s="34"/>
      <c r="O56" s="10"/>
      <c r="P56" s="10"/>
      <c r="Q56" s="34"/>
      <c r="U56" s="10"/>
      <c r="V56" s="10"/>
      <c r="W56" s="34"/>
    </row>
    <row r="57" spans="1:25" ht="16.2" thickBot="1" x14ac:dyDescent="0.35">
      <c r="B57" s="24" t="s">
        <v>35</v>
      </c>
      <c r="C57" s="26"/>
      <c r="D57" s="41"/>
      <c r="E57" s="41"/>
      <c r="F57" s="96"/>
      <c r="G57" s="41"/>
      <c r="I57" s="26"/>
      <c r="J57" s="26"/>
      <c r="K57" s="41"/>
      <c r="L57" s="26"/>
      <c r="M57" s="26"/>
      <c r="N57" s="11"/>
      <c r="O57" s="26"/>
      <c r="P57" s="26"/>
      <c r="Q57" s="41"/>
      <c r="R57" s="26"/>
      <c r="S57" s="26"/>
      <c r="T57" s="11"/>
      <c r="U57" s="26"/>
      <c r="V57" s="26"/>
      <c r="W57" s="41"/>
      <c r="X57" s="26"/>
      <c r="Y57" s="26"/>
    </row>
    <row r="58" spans="1:25" ht="4.5" customHeight="1" thickTop="1" x14ac:dyDescent="0.3">
      <c r="B58" s="47"/>
      <c r="C58" s="11"/>
      <c r="D58" s="48"/>
      <c r="F58" s="90"/>
      <c r="I58" s="11"/>
      <c r="J58" s="11"/>
      <c r="K58" s="48"/>
      <c r="L58" s="11"/>
      <c r="M58" s="11"/>
      <c r="N58" s="11"/>
      <c r="O58" s="11"/>
      <c r="P58" s="11"/>
      <c r="Q58" s="48"/>
      <c r="R58" s="11"/>
      <c r="S58" s="11"/>
      <c r="U58" s="11"/>
      <c r="V58" s="11"/>
      <c r="W58" s="48"/>
      <c r="X58" s="11"/>
      <c r="Y58" s="11"/>
    </row>
    <row r="59" spans="1:25" ht="15.6" x14ac:dyDescent="0.3">
      <c r="B59" s="47"/>
      <c r="C59" s="11"/>
      <c r="E59" s="87" t="s">
        <v>48</v>
      </c>
      <c r="F59" s="105" t="s">
        <v>49</v>
      </c>
      <c r="G59" s="87" t="s">
        <v>47</v>
      </c>
      <c r="I59" s="31" t="str">
        <f>+I7</f>
        <v>1Q 2021</v>
      </c>
      <c r="J59" s="31" t="str">
        <f>+J7</f>
        <v>2Q 2021</v>
      </c>
      <c r="K59" s="31" t="str">
        <f>+K7</f>
        <v>3Q 2021</v>
      </c>
      <c r="L59" s="31" t="str">
        <f>+L7</f>
        <v>4Q 2021</v>
      </c>
      <c r="M59" s="31" t="str">
        <f>+M7</f>
        <v>Total</v>
      </c>
      <c r="N59" s="83"/>
      <c r="O59" s="31" t="str">
        <f>+O7</f>
        <v>1Q 2022</v>
      </c>
      <c r="P59" s="31" t="str">
        <f>+P7</f>
        <v>2Q 2022</v>
      </c>
      <c r="Q59" s="31" t="str">
        <f>+Q7</f>
        <v>3Q 2022</v>
      </c>
      <c r="R59" s="31" t="str">
        <f>+R7</f>
        <v>4Q 2022</v>
      </c>
      <c r="S59" s="31" t="str">
        <f>+S7</f>
        <v>Total</v>
      </c>
      <c r="U59" s="31" t="str">
        <f>+U7</f>
        <v>1Q 2023</v>
      </c>
      <c r="V59" s="31" t="str">
        <f>+V7</f>
        <v>2Q 2023</v>
      </c>
      <c r="W59" s="31" t="str">
        <f>+W7</f>
        <v>3Q 2023</v>
      </c>
      <c r="X59" s="31" t="str">
        <f>+X7</f>
        <v>4Q 2023</v>
      </c>
      <c r="Y59" s="31" t="str">
        <f>+Y7</f>
        <v>Total</v>
      </c>
    </row>
    <row r="60" spans="1:25" x14ac:dyDescent="0.25">
      <c r="A60" t="s">
        <v>20</v>
      </c>
      <c r="B60" s="1" t="s">
        <v>45</v>
      </c>
      <c r="C60" s="2"/>
      <c r="F60" s="90"/>
      <c r="K60" s="34"/>
      <c r="Q60" s="34"/>
      <c r="W60" s="34"/>
    </row>
    <row r="61" spans="1:25" x14ac:dyDescent="0.25">
      <c r="B61" s="37" t="s">
        <v>72</v>
      </c>
      <c r="C61" s="7"/>
      <c r="E61" s="57">
        <f>E9/(E116)*1000</f>
        <v>31.941031941031941</v>
      </c>
      <c r="F61" s="133">
        <f>F9/(F116)*1000</f>
        <v>37.811104020421183</v>
      </c>
      <c r="G61" s="57">
        <f>G9/(G116)*1000</f>
        <v>32.851316277345198</v>
      </c>
      <c r="H61" s="7"/>
      <c r="I61" s="43">
        <f>I9/(I116)*1000</f>
        <v>48.273550117331546</v>
      </c>
      <c r="J61" s="43">
        <f>J9/(J116)*1000</f>
        <v>52.263284495954515</v>
      </c>
      <c r="K61" s="43">
        <f>K9/(K116)*1000</f>
        <v>58.603757472245945</v>
      </c>
      <c r="L61" s="43">
        <f>ROUND(L9/(L116)*1000,2)</f>
        <v>66.19</v>
      </c>
      <c r="M61" s="43">
        <f>M9/(M116)*1000</f>
        <v>56.320985617248304</v>
      </c>
      <c r="N61" s="43"/>
      <c r="O61" s="43">
        <f>O9/(O116)*1000+0.01</f>
        <v>78.92430007539582</v>
      </c>
      <c r="P61" s="43">
        <f>P9/(P116)*1000</f>
        <v>86.631274131274125</v>
      </c>
      <c r="Q61" s="43">
        <f>Q9/(Q116)*1000</f>
        <v>80.292832683906013</v>
      </c>
      <c r="R61" s="43">
        <f>ROUND(R9/(R116)*1000,2)</f>
        <v>73.97</v>
      </c>
      <c r="S61" s="43">
        <f>S9/(S116)*1000</f>
        <v>79.954018120490673</v>
      </c>
      <c r="U61" s="43">
        <f>U9/(U116)*1000</f>
        <v>88.974614235938276</v>
      </c>
      <c r="V61" s="43">
        <f>V9/(V116)*1000</f>
        <v>56.988629047371958</v>
      </c>
      <c r="W61" s="43">
        <f>W9/(W116)*1000</f>
        <v>64.935064935064929</v>
      </c>
      <c r="X61" s="43">
        <f>ROUND(X9/(X116)*1000,2)</f>
        <v>63.59</v>
      </c>
      <c r="Y61" s="43">
        <f>Y9/(Y116)*1000</f>
        <v>68.786833274441605</v>
      </c>
    </row>
    <row r="62" spans="1:25" x14ac:dyDescent="0.25">
      <c r="B62" s="37" t="s">
        <v>66</v>
      </c>
      <c r="C62" s="7"/>
      <c r="E62" s="134">
        <f>E10/(E$116)*1000</f>
        <v>2.6617526617526615</v>
      </c>
      <c r="F62" s="91">
        <f>F10/(F$116)*1000</f>
        <v>-22.49521378430121</v>
      </c>
      <c r="G62" s="134">
        <f>G10/(G$116)*1000</f>
        <v>-1.2359411692003459</v>
      </c>
      <c r="H62" s="7"/>
      <c r="I62" s="62">
        <f>I10/(I$116)*1000</f>
        <v>-23.80154207173986</v>
      </c>
      <c r="J62" s="62">
        <f>J10/(J$116)*1000</f>
        <v>-28.974415044828341</v>
      </c>
      <c r="K62" s="62">
        <f>K10/(K$116)*1000</f>
        <v>-13.34329632792485</v>
      </c>
      <c r="L62" s="62">
        <f>L10/(L$116)*1000</f>
        <v>-8.2031688953815038</v>
      </c>
      <c r="M62" s="62">
        <f>M10/(M$116)*1000</f>
        <v>-18.590325330693286</v>
      </c>
      <c r="N62" s="62"/>
      <c r="O62" s="62">
        <f>O10/(O$116)*1000</f>
        <v>-70.620758984669521</v>
      </c>
      <c r="P62" s="62">
        <f>P10/(P$116)*1000</f>
        <v>-12.065637065637066</v>
      </c>
      <c r="Q62" s="62">
        <f>Q10/(Q$116)*1000</f>
        <v>28.692879914984058</v>
      </c>
      <c r="R62" s="62">
        <f>R10/(R$116)*1000</f>
        <v>-15.824491997842115</v>
      </c>
      <c r="S62" s="62">
        <f>S10/(S$116)*1000</f>
        <v>-16.668431322130292</v>
      </c>
      <c r="U62" s="62">
        <f>U10/(U$116)*1000</f>
        <v>5.2264808362369344</v>
      </c>
      <c r="V62" s="62">
        <f>V10/(V$116)*1000</f>
        <v>3.9522315446723275</v>
      </c>
      <c r="W62" s="62">
        <f>W10/(W$116)*1000</f>
        <v>-25.974025974025977</v>
      </c>
      <c r="X62" s="62">
        <f>X10/(X$116)*1000</f>
        <v>15.668202764976959</v>
      </c>
      <c r="Y62" s="62">
        <f>Y10/(Y$116)*1000</f>
        <v>-0.38303573053053325</v>
      </c>
    </row>
    <row r="63" spans="1:25" x14ac:dyDescent="0.25">
      <c r="B63" s="37" t="s">
        <v>89</v>
      </c>
      <c r="C63" s="7"/>
      <c r="E63" s="134">
        <f>E11/(E$116)*1000</f>
        <v>3.627003627003627</v>
      </c>
      <c r="F63" s="91">
        <f>F11/(F$116)*1000</f>
        <v>6.062539885130823</v>
      </c>
      <c r="G63" s="134">
        <f>G11/(G$116)*1000</f>
        <v>4.004449388209121</v>
      </c>
      <c r="H63" s="7"/>
      <c r="I63" s="62">
        <f>I11/(I$116)*1000</f>
        <v>10.95094423957984</v>
      </c>
      <c r="J63" s="62">
        <f>J11/(J$116)*1000</f>
        <v>5.2481959326481524</v>
      </c>
      <c r="K63" s="62">
        <f>K11/(K$116)*1000</f>
        <v>10.140905209222886</v>
      </c>
      <c r="L63" s="62">
        <f>L11/(L$116)*1000</f>
        <v>7.9784245420833795</v>
      </c>
      <c r="M63" s="62">
        <f>M11/(M$116)*1000</f>
        <v>8.5801501526276702</v>
      </c>
      <c r="N63" s="62"/>
      <c r="O63" s="62">
        <f>O11/(O$116)*1000</f>
        <v>4.0211108318673032</v>
      </c>
      <c r="P63" s="62">
        <f>P11/(P$116)*1000</f>
        <v>9.0492277992277987</v>
      </c>
      <c r="Q63" s="62">
        <f>Q11/(Q$116)*1000</f>
        <v>13.342779548943204</v>
      </c>
      <c r="R63" s="62">
        <f>R11/(R$116)*1000</f>
        <v>11.268956422705749</v>
      </c>
      <c r="S63" s="62">
        <f>S11/(S$116)*1000</f>
        <v>9.4988882670579162</v>
      </c>
      <c r="U63" s="62">
        <f>U11/(U$116)*1000</f>
        <v>22.896963663514189</v>
      </c>
      <c r="V63" s="62">
        <f>V11/(V$116)*1000</f>
        <v>9.1793764908518583</v>
      </c>
      <c r="W63" s="62">
        <f>W11/(W$116)*1000</f>
        <v>9.931245225362872</v>
      </c>
      <c r="X63" s="62">
        <f>X11/(X$116)*1000</f>
        <v>8.8215931533903884</v>
      </c>
      <c r="Y63" s="62">
        <f>Y11/(Y$116)*1000</f>
        <v>12.799777328561985</v>
      </c>
    </row>
    <row r="64" spans="1:25" x14ac:dyDescent="0.25">
      <c r="B64" s="37" t="s">
        <v>46</v>
      </c>
      <c r="C64" s="7"/>
      <c r="E64" s="134">
        <f>E12/(E$116)*1000</f>
        <v>2.5155025155025155</v>
      </c>
      <c r="F64" s="91">
        <f>F12/(F$116)*1000</f>
        <v>2.3931078493937461</v>
      </c>
      <c r="G64" s="134">
        <f>G12/(G$116)*1000</f>
        <v>2.496601161784699</v>
      </c>
      <c r="H64" s="84"/>
      <c r="I64" s="62">
        <f>I12/(I$116)*1000</f>
        <v>3.6875628561850489</v>
      </c>
      <c r="J64" s="62">
        <f>J12/(J$116)*1000</f>
        <v>3.6081347036956046</v>
      </c>
      <c r="K64" s="62">
        <f>K12/(K$116)*1000</f>
        <v>6.9385140905209219</v>
      </c>
      <c r="L64" s="62">
        <f>L12/(L$116)*1000</f>
        <v>4.60725924261153</v>
      </c>
      <c r="M64" s="62">
        <f>M12/(M$116)*1000</f>
        <v>4.7300827764485875</v>
      </c>
      <c r="N64" s="62"/>
      <c r="O64" s="62">
        <f>O12/(O$116)*1000</f>
        <v>4.2724302588590097</v>
      </c>
      <c r="P64" s="62">
        <f>P12/(P$116)*1000</f>
        <v>5.9121621621621623</v>
      </c>
      <c r="Q64" s="62">
        <f>Q12/(Q$116)*1000+0.01</f>
        <v>10.400837170858425</v>
      </c>
      <c r="R64" s="62">
        <f>R12/(R$116)*1000</f>
        <v>10.789426362165079</v>
      </c>
      <c r="S64" s="62">
        <f>S12/(S$116)*1000</f>
        <v>7.8955727315354016</v>
      </c>
      <c r="U64" s="62">
        <f>U12/(U$116)*1000</f>
        <v>8.4619213539074156</v>
      </c>
      <c r="V64" s="62">
        <f>V12/(V$116)*1000</f>
        <v>4.334705565124489</v>
      </c>
      <c r="W64" s="62">
        <f>W12/(W$116)*1000</f>
        <v>8.5306850012732358</v>
      </c>
      <c r="X64" s="62">
        <f>X12/(X$116)*1000</f>
        <v>5.5299539170506913</v>
      </c>
      <c r="Y64" s="62">
        <f>Y12/(Y$116)*1000</f>
        <v>6.7350449284952099</v>
      </c>
    </row>
    <row r="65" spans="2:26" x14ac:dyDescent="0.25">
      <c r="B65" s="37" t="s">
        <v>21</v>
      </c>
      <c r="C65" s="7"/>
      <c r="E65" s="60">
        <f>E13/(E116)*1000-0.01</f>
        <v>0.39950040950040949</v>
      </c>
      <c r="F65" s="93">
        <f>F13/(F116)*1000</f>
        <v>0.47862156987874921</v>
      </c>
      <c r="G65" s="60">
        <f>G13/(G116)*1000</f>
        <v>0.42021999752811767</v>
      </c>
      <c r="H65" s="84"/>
      <c r="I65" s="45">
        <f>I13/(I116)*1000</f>
        <v>1.4526762766789585</v>
      </c>
      <c r="J65" s="45">
        <f>J13/(J116)*1000</f>
        <v>1.0933741526350316</v>
      </c>
      <c r="K65" s="45">
        <f>K13/(K116)*1000</f>
        <v>0.42698548249359519</v>
      </c>
      <c r="L65" s="45">
        <f>L13/(L116)*1000</f>
        <v>0.67423305989437021</v>
      </c>
      <c r="M65" s="45">
        <f>M13/(M116)*1000</f>
        <v>0.90751588152792673</v>
      </c>
      <c r="N65" s="44"/>
      <c r="O65" s="45">
        <f>O13/(O116)*1000</f>
        <v>2.6388539834129179</v>
      </c>
      <c r="P65" s="45">
        <f>P13/(P116)*1000</f>
        <v>0.60328185328185324</v>
      </c>
      <c r="Q65" s="45">
        <f>Q13/(Q116)*1000</f>
        <v>0.1180776951233912</v>
      </c>
      <c r="R65" s="45">
        <f>R13/(R116)*1000</f>
        <v>1.558472696757178</v>
      </c>
      <c r="S65" s="45">
        <f>S13/(S116)*1000</f>
        <v>1.2100494607717092</v>
      </c>
      <c r="U65" s="45">
        <f>U13/(U116)*1000</f>
        <v>1.8666002986560477</v>
      </c>
      <c r="V65" s="45">
        <f>V13/(V116)*1000</f>
        <v>0.89243938105504184</v>
      </c>
      <c r="W65" s="45">
        <f>W13/(W116)*1000</f>
        <v>1.1459129106187931</v>
      </c>
      <c r="X65" s="45">
        <f>X13/(X116)*1000</f>
        <v>1.9749835418038184</v>
      </c>
      <c r="Y65" s="45">
        <f>Y13/(Y116)*1000</f>
        <v>1.4683036337003774</v>
      </c>
    </row>
    <row r="66" spans="2:26" x14ac:dyDescent="0.25">
      <c r="B66" s="6" t="s">
        <v>86</v>
      </c>
      <c r="C66" s="7"/>
      <c r="E66" s="52">
        <f>SUM(E61:E65)+0.01</f>
        <v>41.154791154791155</v>
      </c>
      <c r="F66" s="91">
        <f>SUM(F61:F65)-0.01</f>
        <v>24.24015954052329</v>
      </c>
      <c r="G66" s="52">
        <f>SUM(G61:G65)-0.01</f>
        <v>38.526645655666783</v>
      </c>
      <c r="H66" s="84"/>
      <c r="I66" s="44">
        <f>SUM(I61:I65)</f>
        <v>40.56319141803553</v>
      </c>
      <c r="J66" s="44">
        <f>SUM(J61:J65)</f>
        <v>33.23857424010496</v>
      </c>
      <c r="K66" s="52">
        <f>SUM(K61:K65)</f>
        <v>62.766865926558495</v>
      </c>
      <c r="L66" s="52">
        <f>SUM(L61:L65)</f>
        <v>71.246747949207787</v>
      </c>
      <c r="M66" s="52">
        <f>SUM(M61:M65)</f>
        <v>51.948409097159207</v>
      </c>
      <c r="N66" s="52"/>
      <c r="O66" s="44">
        <f>SUM(O61:O65)-0.01</f>
        <v>19.22593616486553</v>
      </c>
      <c r="P66" s="44">
        <f>SUM(P61:P65)-0.01</f>
        <v>90.120308880308869</v>
      </c>
      <c r="Q66" s="52">
        <f>SUM(Q61:Q65)-0.01</f>
        <v>132.8374070138151</v>
      </c>
      <c r="R66" s="52">
        <f>SUM(R61:R65)</f>
        <v>81.76236348378589</v>
      </c>
      <c r="S66" s="52">
        <f>SUM(S61:S65)</f>
        <v>81.890097257725415</v>
      </c>
      <c r="T66" s="52"/>
      <c r="U66" s="44">
        <f>SUM(U61:U65)</f>
        <v>127.42658038825286</v>
      </c>
      <c r="V66" s="44">
        <f>SUM(V61:V65)</f>
        <v>75.347382029075689</v>
      </c>
      <c r="W66" s="52">
        <f>SUM(W61:W65)+0.01</f>
        <v>58.578882098293846</v>
      </c>
      <c r="X66" s="52">
        <f>SUM(X61:X65)</f>
        <v>95.584733377221866</v>
      </c>
      <c r="Y66" s="52">
        <f>SUM(Y61:Y65)</f>
        <v>89.406923434668641</v>
      </c>
      <c r="Z66" s="52"/>
    </row>
    <row r="67" spans="2:26" ht="11.55" customHeight="1" x14ac:dyDescent="0.25">
      <c r="B67" s="6"/>
      <c r="C67" s="7"/>
      <c r="E67" s="61"/>
      <c r="F67" s="92"/>
      <c r="G67" s="61"/>
      <c r="H67" s="84"/>
      <c r="I67" s="32"/>
      <c r="J67" s="32"/>
      <c r="K67" s="61"/>
      <c r="L67" s="61"/>
      <c r="M67" s="61"/>
      <c r="N67" s="61"/>
      <c r="O67" s="32"/>
      <c r="P67" s="32"/>
      <c r="Q67" s="61"/>
      <c r="R67" s="61"/>
      <c r="S67" s="61"/>
      <c r="U67" s="32"/>
      <c r="V67" s="32"/>
      <c r="W67" s="61"/>
      <c r="X67" s="61"/>
      <c r="Y67" s="61"/>
    </row>
    <row r="68" spans="2:26" x14ac:dyDescent="0.25">
      <c r="B68" s="1" t="s">
        <v>61</v>
      </c>
      <c r="C68" s="7"/>
      <c r="E68" s="61"/>
      <c r="F68" s="92"/>
      <c r="G68" s="61"/>
      <c r="H68" s="84"/>
      <c r="I68" s="32"/>
      <c r="J68" s="32"/>
      <c r="K68" s="61"/>
      <c r="L68" s="61"/>
      <c r="M68" s="61"/>
      <c r="N68" s="61"/>
      <c r="O68" s="32"/>
      <c r="P68" s="32"/>
      <c r="Q68" s="61"/>
      <c r="R68" s="61"/>
      <c r="S68" s="61"/>
      <c r="U68" s="32"/>
      <c r="V68" s="32"/>
      <c r="W68" s="61"/>
      <c r="X68" s="61"/>
      <c r="Y68" s="61"/>
    </row>
    <row r="69" spans="2:26" x14ac:dyDescent="0.25">
      <c r="B69" s="37" t="s">
        <v>57</v>
      </c>
      <c r="C69" s="7"/>
      <c r="E69" s="52">
        <f>E17/(E116)*1000</f>
        <v>14.946764946764947</v>
      </c>
      <c r="F69" s="91">
        <f>F17/(F116)*1000</f>
        <v>18.187619655392467</v>
      </c>
      <c r="G69" s="52">
        <f>G17/(G116)*1000</f>
        <v>15.449264615004326</v>
      </c>
      <c r="H69" s="84"/>
      <c r="I69" s="44">
        <f>I17/(I116)*1000</f>
        <v>18.32606995194994</v>
      </c>
      <c r="J69" s="44">
        <f>J17/(J116)*1000</f>
        <v>18.478023179532034</v>
      </c>
      <c r="K69" s="52">
        <f>K17/(K116)*1000</f>
        <v>20.281810418445772</v>
      </c>
      <c r="L69" s="52">
        <f>L17/(L116)*1000</f>
        <v>20.451736150129225</v>
      </c>
      <c r="M69" s="52">
        <f>M17/(M116)*1000</f>
        <v>19.387839287187525</v>
      </c>
      <c r="N69" s="52"/>
      <c r="O69" s="44">
        <f>O17/(O116)*1000</f>
        <v>22.870067856245289</v>
      </c>
      <c r="P69" s="44">
        <f>P17/(P116)*1000</f>
        <v>22.924710424710423</v>
      </c>
      <c r="Q69" s="52">
        <f>Q17/(Q116)*1000</f>
        <v>25.268626756405716</v>
      </c>
      <c r="R69" s="52">
        <f>R17/(R116)*1000</f>
        <v>23.856620511898338</v>
      </c>
      <c r="S69" s="52">
        <f>S17/(S116)*1000</f>
        <v>23.74722066764479</v>
      </c>
      <c r="U69" s="44">
        <f>U17/(U116)*1000</f>
        <v>31.607765057242407</v>
      </c>
      <c r="V69" s="44">
        <f>V17/(V116)*1000</f>
        <v>23.713389268033968</v>
      </c>
      <c r="W69" s="52">
        <f>W17/(W116)*1000</f>
        <v>24.955436720142604</v>
      </c>
      <c r="X69" s="52">
        <f>X17/(X116)*1000</f>
        <v>24.489795918367346</v>
      </c>
      <c r="Y69" s="52">
        <f>Y17/(Y116)*1000</f>
        <v>26.23794754134153</v>
      </c>
    </row>
    <row r="70" spans="2:26" x14ac:dyDescent="0.25">
      <c r="B70" s="37" t="s">
        <v>80</v>
      </c>
      <c r="C70" s="7"/>
      <c r="E70" s="52">
        <f>E18/(E116)*1000</f>
        <v>6.2010062010062006</v>
      </c>
      <c r="F70" s="91">
        <f>F18/(F116)*1000</f>
        <v>6.3816209317166566</v>
      </c>
      <c r="G70" s="52">
        <f>G18/(G116)*1000</f>
        <v>6.2291434927697438</v>
      </c>
      <c r="H70" s="84"/>
      <c r="I70" s="44">
        <f>I18/(I116)*1000</f>
        <v>5.3637277908146164</v>
      </c>
      <c r="J70" s="44">
        <f>J18/(J116)*1000</f>
        <v>5.2481959326481524</v>
      </c>
      <c r="K70" s="52">
        <f>K18/(K116)*1000</f>
        <v>5.4440649017933387</v>
      </c>
      <c r="L70" s="52">
        <f>L18/(L116)*1000</f>
        <v>5.95572536240027</v>
      </c>
      <c r="M70" s="52">
        <f>M18/(M116)*1000</f>
        <v>5.500096251684405</v>
      </c>
      <c r="N70" s="52"/>
      <c r="O70" s="44">
        <f>O18/(O116)*1000</f>
        <v>6.0316662478009553</v>
      </c>
      <c r="P70" s="44">
        <f>P18/(P116)*1000</f>
        <v>6.756756756756757</v>
      </c>
      <c r="Q70" s="52">
        <f>Q18/(Q116)*1000</f>
        <v>6.9665840122800802</v>
      </c>
      <c r="R70" s="52">
        <f>R18/(R116)*1000</f>
        <v>7.0730683929748848</v>
      </c>
      <c r="S70" s="52">
        <f>S18/(S116)*1000</f>
        <v>6.7157745072829851</v>
      </c>
      <c r="U70" s="44">
        <f>U18/(U116)*1000</f>
        <v>8.0886012941762075</v>
      </c>
      <c r="V70" s="44">
        <f>V18/(V116)*1000</f>
        <v>9.0518851507011373</v>
      </c>
      <c r="W70" s="52">
        <f>W18/(W116)*1000</f>
        <v>8.2760376878023934</v>
      </c>
      <c r="X70" s="52">
        <f>X18/(X116)*1000</f>
        <v>8.6899275839368002</v>
      </c>
      <c r="Y70" s="52">
        <f>Y18/(Y116)*1000</f>
        <v>8.5225450043043658</v>
      </c>
    </row>
    <row r="71" spans="2:26" x14ac:dyDescent="0.25">
      <c r="B71" s="37" t="s">
        <v>22</v>
      </c>
      <c r="C71" s="7"/>
      <c r="E71" s="52">
        <f>E19/(E116)*1000</f>
        <v>9.5940095940095933</v>
      </c>
      <c r="F71" s="91">
        <f>F19/(F116)*1000</f>
        <v>5.4243777919591576</v>
      </c>
      <c r="G71" s="52">
        <f>G19/(G116)*1000</f>
        <v>8.9482140650105055</v>
      </c>
      <c r="H71" s="84"/>
      <c r="I71" s="44">
        <f>I19/(I116)*1000</f>
        <v>5.810705106715834</v>
      </c>
      <c r="J71" s="44">
        <f>J19/(J116)*1000</f>
        <v>5.9042204242291705</v>
      </c>
      <c r="K71" s="52">
        <f>K19/(K116)*1000</f>
        <v>5.7643040136635353</v>
      </c>
      <c r="L71" s="52">
        <f>L19/(L116)*1000</f>
        <v>5.95572536240027</v>
      </c>
      <c r="M71" s="52">
        <f>M19/(M116)*1000-0.01</f>
        <v>5.8476025080438907</v>
      </c>
      <c r="N71" s="52"/>
      <c r="O71" s="44">
        <f>O19/(O116)*1000</f>
        <v>6.1573259612968085</v>
      </c>
      <c r="P71" s="44">
        <f>P19/(P116)*1000</f>
        <v>6.0328185328185331</v>
      </c>
      <c r="Q71" s="52">
        <f>Q19/(Q116)*1000</f>
        <v>5.9038847561695604</v>
      </c>
      <c r="R71" s="52">
        <f>R19/(R116)*1000</f>
        <v>5.8742432416232093</v>
      </c>
      <c r="S71" s="52">
        <f>S19/(S116)*1000</f>
        <v>5.9897448308199595</v>
      </c>
      <c r="U71" s="44">
        <f>U19/(U116)*1000</f>
        <v>7.2175211548033849</v>
      </c>
      <c r="V71" s="44">
        <f>V19/(V116)*1000</f>
        <v>7.1395150484403347</v>
      </c>
      <c r="W71" s="52">
        <f>W19/(W116)*1000</f>
        <v>7.1301247771836005</v>
      </c>
      <c r="X71" s="52">
        <f>X19/(X116)*1000</f>
        <v>7.2416063199473335</v>
      </c>
      <c r="Y71" s="52">
        <f>Y19/(Y116)*1000</f>
        <v>7.181919947447498</v>
      </c>
    </row>
    <row r="72" spans="2:26" x14ac:dyDescent="0.25">
      <c r="B72" s="37" t="s">
        <v>23</v>
      </c>
      <c r="C72" s="7"/>
      <c r="E72" s="52">
        <f>E20/(E116)*1000</f>
        <v>50.778050778050776</v>
      </c>
      <c r="F72" s="91">
        <v>0</v>
      </c>
      <c r="G72" s="52">
        <f>G20/(G116)*1000</f>
        <v>42.911877394636015</v>
      </c>
      <c r="H72" s="84"/>
      <c r="I72" s="44">
        <f>I20/(I116)*1000</f>
        <v>0.33523298692591352</v>
      </c>
      <c r="J72" s="44">
        <f>J20/(J116)*1000</f>
        <v>0</v>
      </c>
      <c r="K72" s="44">
        <f>K20/(K116)*1000</f>
        <v>2.6686592655849699</v>
      </c>
      <c r="L72" s="44">
        <f>L20/(L116)*1000</f>
        <v>0</v>
      </c>
      <c r="M72" s="44">
        <f>M20/(M116)*1000</f>
        <v>0.77001347523581654</v>
      </c>
      <c r="N72" s="44"/>
      <c r="O72" s="44">
        <f>O20/(O116)*1000</f>
        <v>0</v>
      </c>
      <c r="P72" s="44">
        <f>P20/(P116)*1000</f>
        <v>0.24131274131274133</v>
      </c>
      <c r="Q72" s="44">
        <f>Q20/(Q116)*1000</f>
        <v>0</v>
      </c>
      <c r="R72" s="44">
        <f>R20/(R116)*1000</f>
        <v>0</v>
      </c>
      <c r="S72" s="44">
        <f>S20/(S116)*1000</f>
        <v>6.0502473038585455E-2</v>
      </c>
      <c r="U72" s="44">
        <f>U20/(U116)*1000</f>
        <v>0.37332005973120957</v>
      </c>
      <c r="V72" s="44">
        <f>V20/(V116)*1000</f>
        <v>0</v>
      </c>
      <c r="W72" s="44">
        <f>W20/(W116)*1000</f>
        <v>0</v>
      </c>
      <c r="X72" s="44">
        <f>X20/(X116)*1000</f>
        <v>0</v>
      </c>
      <c r="Y72" s="44">
        <f>Y20/(Y116)*1000</f>
        <v>9.5758932632633312E-2</v>
      </c>
    </row>
    <row r="73" spans="2:26" x14ac:dyDescent="0.25">
      <c r="B73" s="37" t="s">
        <v>24</v>
      </c>
      <c r="C73" s="7"/>
      <c r="E73" s="52">
        <f>E21/(E116)*1000</f>
        <v>3.9195039195039194</v>
      </c>
      <c r="F73" s="91">
        <f>F21/(F116)*1000</f>
        <v>1.5954052329291641</v>
      </c>
      <c r="G73" s="52">
        <f>G21/(G116)*1000</f>
        <v>3.5595105672969969</v>
      </c>
      <c r="H73" s="84"/>
      <c r="I73" s="44">
        <f>I21/(I116)*1000</f>
        <v>4.4697731590121803</v>
      </c>
      <c r="J73" s="44">
        <f>J21/(J116)*1000</f>
        <v>4.0454843647496173</v>
      </c>
      <c r="K73" s="52">
        <f>K21/(K116)*1000</f>
        <v>3.842869342442357</v>
      </c>
      <c r="L73" s="52">
        <f>L21/(L116)*1000+0.01</f>
        <v>3.6059096527699741</v>
      </c>
      <c r="M73" s="52">
        <f>M21/(M116)*1000+0.01</f>
        <v>3.9975697824711935</v>
      </c>
      <c r="N73" s="52"/>
      <c r="O73" s="44">
        <f>O21/(O116)*1000+0.01</f>
        <v>4.2824302588590095</v>
      </c>
      <c r="P73" s="44">
        <f>P21/(P116)*1000</f>
        <v>5.0675675675675675</v>
      </c>
      <c r="Q73" s="52">
        <f>Q21/(Q116)*1000</f>
        <v>5.1954185854292128</v>
      </c>
      <c r="R73" s="52">
        <f>R21/(R116)*1000</f>
        <v>5.0350656356770358</v>
      </c>
      <c r="S73" s="52">
        <f>S21/(S116)*1000</f>
        <v>4.9007003161254215</v>
      </c>
      <c r="U73" s="44">
        <f>U21/(U116)*1000</f>
        <v>5.2264808362369344</v>
      </c>
      <c r="V73" s="44">
        <f>V21/(V116)*1000</f>
        <v>5.3546362863302503</v>
      </c>
      <c r="W73" s="52">
        <f>W21/(W116)*1000</f>
        <v>6.1115355233002289</v>
      </c>
      <c r="X73" s="52">
        <f>X21/(X116)*1000</f>
        <v>4.3449637919684001</v>
      </c>
      <c r="Y73" s="52">
        <f>Y21/(Y116)*1000</f>
        <v>5.2667412947948318</v>
      </c>
    </row>
    <row r="74" spans="2:26" x14ac:dyDescent="0.25">
      <c r="B74" s="37" t="s">
        <v>25</v>
      </c>
      <c r="C74" s="7"/>
      <c r="E74" s="52">
        <f>E22/(E$116)*1000</f>
        <v>0.29250029250029247</v>
      </c>
      <c r="F74" s="91">
        <f>F22/(F$116)*1000</f>
        <v>0.1595405232929164</v>
      </c>
      <c r="G74" s="52">
        <f>G22/(G$116)*1000</f>
        <v>0.2719070572240761</v>
      </c>
      <c r="H74" s="84"/>
      <c r="I74" s="44">
        <f>I22/(I$116)*1000</f>
        <v>0.22348865795060902</v>
      </c>
      <c r="J74" s="44">
        <f>J22/(J$116)*1000</f>
        <v>0.21867483052700634</v>
      </c>
      <c r="K74" s="52">
        <f>K22/(K$116)*1000</f>
        <v>0.2134927412467976</v>
      </c>
      <c r="L74" s="52">
        <f>L22/(L$116)*1000</f>
        <v>0.1123721766490617</v>
      </c>
      <c r="M74" s="52">
        <f>M22/(M$116)*1000</f>
        <v>0.19250336880895413</v>
      </c>
      <c r="N74" s="52"/>
      <c r="O74" s="44">
        <f>O22/(O$116)*1000</f>
        <v>0.12565971349585323</v>
      </c>
      <c r="P74" s="44">
        <f>P22/(P$116)*1000</f>
        <v>0.12065637065637067</v>
      </c>
      <c r="Q74" s="52">
        <f>Q22/(Q$116)*1000</f>
        <v>0.1180776951233912</v>
      </c>
      <c r="R74" s="52">
        <f>R22/(R$116)*1000</f>
        <v>0.11988251513516752</v>
      </c>
      <c r="S74" s="52">
        <f>S22/(S$116)*1000</f>
        <v>0.12100494607717091</v>
      </c>
      <c r="U74" s="44">
        <f>U22/(U$116)*1000</f>
        <v>0.12444001991040318</v>
      </c>
      <c r="V74" s="44">
        <f>V22/(V$116)*1000</f>
        <v>0.12749134015072025</v>
      </c>
      <c r="W74" s="52">
        <f>W22/(W$116)*1000</f>
        <v>0</v>
      </c>
      <c r="X74" s="52">
        <f>X22/(X$116)*1000</f>
        <v>0.13166556945358787</v>
      </c>
      <c r="Y74" s="52">
        <f>Y22/(Y$116)*1000</f>
        <v>9.5758932632633312E-2</v>
      </c>
    </row>
    <row r="75" spans="2:26" x14ac:dyDescent="0.25">
      <c r="B75" s="37" t="s">
        <v>90</v>
      </c>
      <c r="C75" s="7"/>
      <c r="E75" s="52">
        <f>E23/(E$116)*1000</f>
        <v>2.2815022815022816</v>
      </c>
      <c r="F75" s="91">
        <f>F23/(F$116)*1000</f>
        <v>3.8289725590299937</v>
      </c>
      <c r="G75" s="52">
        <f>G23/(G$116)*1000</f>
        <v>2.5213199851687058</v>
      </c>
      <c r="H75" s="84"/>
      <c r="I75" s="44">
        <f>I23/(I$116)*1000</f>
        <v>6.8164040674935746</v>
      </c>
      <c r="J75" s="44">
        <f>J23/(J$116)*1000</f>
        <v>3.2801224579050952</v>
      </c>
      <c r="K75" s="52">
        <f>K23/(K$116)*1000</f>
        <v>5.6575576430401364</v>
      </c>
      <c r="L75" s="52">
        <f>L23/(L$116)*1000</f>
        <v>5.8433531857512078</v>
      </c>
      <c r="M75" s="52">
        <f>M23/(M$116)*1000</f>
        <v>5.3900943266507166</v>
      </c>
      <c r="N75" s="52"/>
      <c r="O75" s="44">
        <f>O23/(O$116)*1000</f>
        <v>2.6388539834129179</v>
      </c>
      <c r="P75" s="44">
        <f>P23/(P$116)*1000</f>
        <v>8.0839768339768341</v>
      </c>
      <c r="Q75" s="52">
        <f>Q23/(Q$116)*1000</f>
        <v>11.571614122092337</v>
      </c>
      <c r="R75" s="52">
        <f>R23/(R$116)*1000</f>
        <v>10.429778816759576</v>
      </c>
      <c r="S75" s="52">
        <f>S23/(S$116)*1000</f>
        <v>8.2585875697669131</v>
      </c>
      <c r="U75" s="44">
        <f>U23/(U$116)*1000</f>
        <v>15.430562468889995</v>
      </c>
      <c r="V75" s="44">
        <f>V23/(V$116)*1000</f>
        <v>3.4422661840694468</v>
      </c>
      <c r="W75" s="52">
        <f>W23/(W$116)*1000</f>
        <v>3.9470333587980648</v>
      </c>
      <c r="X75" s="52">
        <f>X23/(X$116)*1000</f>
        <v>5.1349572086899276</v>
      </c>
      <c r="Y75" s="52">
        <f>Y23/(Y$116)*1000</f>
        <v>7.0542413706039868</v>
      </c>
    </row>
    <row r="76" spans="2:26" x14ac:dyDescent="0.25">
      <c r="B76" s="37" t="s">
        <v>62</v>
      </c>
      <c r="C76" s="7"/>
      <c r="E76" s="52">
        <f>E24/(E$116)*1000</f>
        <v>1.5502515502515501</v>
      </c>
      <c r="F76" s="91">
        <f>F24/(F$116)*1000</f>
        <v>1.5954052329291641</v>
      </c>
      <c r="G76" s="52">
        <f>G24/(G$116)*1000</f>
        <v>1.5572858731924359</v>
      </c>
      <c r="H76" s="84"/>
      <c r="I76" s="44">
        <f>I24/(I$116)*1000</f>
        <v>2.6818638954073082</v>
      </c>
      <c r="J76" s="44">
        <f>J24/(J$116)*1000</f>
        <v>1.8587360594795539</v>
      </c>
      <c r="K76" s="52">
        <f>K24/(K$116)*1000</f>
        <v>3.0956447480785654</v>
      </c>
      <c r="L76" s="52">
        <f>L24/(L$116)*1000</f>
        <v>2.9216765928756039</v>
      </c>
      <c r="M76" s="52">
        <f>M24/(M$116)*1000</f>
        <v>2.6400462008085142</v>
      </c>
      <c r="N76" s="52"/>
      <c r="O76" s="44">
        <f>O24/(O$116)*1000</f>
        <v>3.0158331239004776</v>
      </c>
      <c r="P76" s="44">
        <f>P24/(P$116)*1000</f>
        <v>3.9816602316602316</v>
      </c>
      <c r="Q76" s="52">
        <f>Q24/(Q$116)*1000</f>
        <v>4.9592631951824302</v>
      </c>
      <c r="R76" s="52">
        <f>R24/(R$116)*1000</f>
        <v>8.1520110291913923</v>
      </c>
      <c r="S76" s="52">
        <f>S24/(S$116)*1000</f>
        <v>5.0519564987218857</v>
      </c>
      <c r="U76" s="44">
        <f>U24/(U$116)*1000</f>
        <v>6.0975609756097562</v>
      </c>
      <c r="V76" s="44">
        <f>V24/(V$116)*1000</f>
        <v>1.6573874219593634</v>
      </c>
      <c r="W76" s="52">
        <f>W24/(W$116)*1000</f>
        <v>2.9284441049146932</v>
      </c>
      <c r="X76" s="52">
        <f>X24/(X$116)*1000</f>
        <v>2.3699802501645819</v>
      </c>
      <c r="Y76" s="52">
        <f>Y24/(Y$116)*1000</f>
        <v>3.2877233537204105</v>
      </c>
    </row>
    <row r="77" spans="2:26" x14ac:dyDescent="0.25">
      <c r="B77" s="37" t="s">
        <v>87</v>
      </c>
      <c r="C77" s="7"/>
      <c r="E77" s="52">
        <f>E25/(E$116)*1000</f>
        <v>1.0237510237510237</v>
      </c>
      <c r="F77" s="91">
        <f>F25/(F$116)*1000</f>
        <v>1.2763241863433312</v>
      </c>
      <c r="G77" s="52">
        <f>G25/(G$116)*1000</f>
        <v>1.0629094055122976</v>
      </c>
      <c r="H77" s="84"/>
      <c r="I77" s="44">
        <f>I25/(I$116)*1000</f>
        <v>1.3409319477036541</v>
      </c>
      <c r="J77" s="44">
        <f>J25/(J$116)*1000</f>
        <v>1.5307238136890444</v>
      </c>
      <c r="K77" s="52">
        <f>K25/(K$116)*1000</f>
        <v>1.1742100768573867</v>
      </c>
      <c r="L77" s="52">
        <f>L25/(L$116)*1000</f>
        <v>1.5732104730868637</v>
      </c>
      <c r="M77" s="52">
        <f>M25/(M$116)*1000</f>
        <v>1.4025245441795231</v>
      </c>
      <c r="N77" s="52"/>
      <c r="O77" s="44">
        <f>O25/(O$116)*1000</f>
        <v>1.5079165619502388</v>
      </c>
      <c r="P77" s="44">
        <f>P25/(P$116)*1000</f>
        <v>1.4478764478764479</v>
      </c>
      <c r="Q77" s="52">
        <f>Q25/(Q$116)*1000</f>
        <v>1.5350100366040855</v>
      </c>
      <c r="R77" s="52">
        <f>R25/(R$116)*1000</f>
        <v>1.558472696757178</v>
      </c>
      <c r="S77" s="52">
        <f>S25/(S$116)*1000</f>
        <v>1.5125618259646363</v>
      </c>
      <c r="U77" s="44">
        <f>U25/(U$116)*1000</f>
        <v>2.1154803384768539</v>
      </c>
      <c r="V77" s="44">
        <f>V25/(V$116)*1000</f>
        <v>2.039861442411524</v>
      </c>
      <c r="W77" s="52">
        <f>W25/(W$116)*1000</f>
        <v>2.0371785077667428</v>
      </c>
      <c r="X77" s="52">
        <f>X25/(X$116)*1000</f>
        <v>2.3699802501645819</v>
      </c>
      <c r="Y77" s="52">
        <f>Y25/(Y$116)*1000</f>
        <v>2.1386161621288107</v>
      </c>
    </row>
    <row r="78" spans="2:26" x14ac:dyDescent="0.25">
      <c r="B78" s="37" t="s">
        <v>63</v>
      </c>
      <c r="C78" s="7"/>
      <c r="E78" s="52">
        <f>E26/(E$116)*1000</f>
        <v>0.96525096525096532</v>
      </c>
      <c r="F78" s="91">
        <f>F26/(F$116)*1000</f>
        <v>1.2763241863433312</v>
      </c>
      <c r="G78" s="52">
        <f>G26/(G$116)*1000</f>
        <v>1.0134717587442836</v>
      </c>
      <c r="H78" s="84"/>
      <c r="I78" s="44">
        <f>I26/(I$116)*1000</f>
        <v>1.4526762766789585</v>
      </c>
      <c r="J78" s="44">
        <f>J26/(J$116)*1000</f>
        <v>1.4213863984255413</v>
      </c>
      <c r="K78" s="52">
        <f>K26/(K$116)*1000</f>
        <v>1.3877028181041844</v>
      </c>
      <c r="L78" s="52">
        <f>L26/(L$116)*1000</f>
        <v>1.2360939431396785</v>
      </c>
      <c r="M78" s="52">
        <f>M26/(M$116)*1000</f>
        <v>1.3750240629211012</v>
      </c>
      <c r="N78" s="52"/>
      <c r="O78" s="44">
        <f>O26/(O$116)*1000</f>
        <v>1.3822568484543853</v>
      </c>
      <c r="P78" s="44">
        <f>P26/(P$116)*1000</f>
        <v>1.3272200772200771</v>
      </c>
      <c r="Q78" s="52">
        <f>Q26/(Q$116)*1000</f>
        <v>1.1807769512339119</v>
      </c>
      <c r="R78" s="52">
        <f>R26/(R$116)*1000</f>
        <v>1.3187076664868429</v>
      </c>
      <c r="S78" s="52">
        <f>S26/(S$116)*1000</f>
        <v>1.300803170329587</v>
      </c>
      <c r="U78" s="44">
        <f>U26/(U$116)*1000</f>
        <v>1.4932802389248383</v>
      </c>
      <c r="V78" s="44">
        <f>V26/(V$116)*1000</f>
        <v>1.4024047416579228</v>
      </c>
      <c r="W78" s="52">
        <f>W26/(W$116)*1000</f>
        <v>1.5278838808250572</v>
      </c>
      <c r="X78" s="52">
        <f>X26/(X$116)*1000</f>
        <v>1.4483212639894669</v>
      </c>
      <c r="Y78" s="52">
        <f>Y26/(Y$116)*1000</f>
        <v>1.4683036337003774</v>
      </c>
    </row>
    <row r="79" spans="2:26" x14ac:dyDescent="0.25">
      <c r="B79" s="37" t="s">
        <v>93</v>
      </c>
      <c r="C79" s="7"/>
      <c r="E79" s="52"/>
      <c r="F79" s="91"/>
      <c r="G79" s="52"/>
      <c r="H79" s="84"/>
      <c r="I79" s="44"/>
      <c r="J79" s="44"/>
      <c r="K79" s="52"/>
      <c r="L79" s="52"/>
      <c r="M79" s="52"/>
      <c r="N79" s="52"/>
      <c r="O79" s="44">
        <f>O27/(O$116)*1000</f>
        <v>0</v>
      </c>
      <c r="P79" s="44">
        <f>P27/(P$116)*1000</f>
        <v>0.24131274131274133</v>
      </c>
      <c r="Q79" s="52">
        <f>Q27/(Q$116)*1000</f>
        <v>0.1180776951233912</v>
      </c>
      <c r="R79" s="52">
        <f>R27/(R$116)*1000</f>
        <v>1.3187076664868429</v>
      </c>
      <c r="S79" s="52">
        <f>S27/(S$116)*1000</f>
        <v>0.42351731127009817</v>
      </c>
      <c r="U79" s="44">
        <f>U27/(U$116)*1000</f>
        <v>0.62220009955201583</v>
      </c>
      <c r="V79" s="44">
        <f>V27/(V$116)*1000</f>
        <v>1.019930721205762</v>
      </c>
      <c r="W79" s="52">
        <f>W27/(W$116)*1000</f>
        <v>0.89126559714795006</v>
      </c>
      <c r="X79" s="52">
        <f>X27/(X$116)*1000</f>
        <v>2.2383146807109942</v>
      </c>
      <c r="Y79" s="52">
        <f>Y27/(Y$116)*1000</f>
        <v>1.1810268358024776</v>
      </c>
    </row>
    <row r="80" spans="2:26" ht="12.45" customHeight="1" x14ac:dyDescent="0.25">
      <c r="B80" s="37" t="s">
        <v>64</v>
      </c>
      <c r="C80" s="7"/>
      <c r="E80" s="60">
        <f>E28/(E116)*1000</f>
        <v>1.638001638001638</v>
      </c>
      <c r="F80" s="93">
        <f>F28/(F116)*1000-0.01</f>
        <v>1.4258647096362476</v>
      </c>
      <c r="G80" s="60">
        <f>G28/(G116)*1000</f>
        <v>1.6067235199604499</v>
      </c>
      <c r="H80" s="84"/>
      <c r="I80" s="45">
        <f>I28/(I116)*1000</f>
        <v>1.8996535925801765</v>
      </c>
      <c r="J80" s="45">
        <f>J28/(J116)*1000</f>
        <v>1.0933741526350316</v>
      </c>
      <c r="K80" s="60">
        <f>K28/(K116)*1000+0.01</f>
        <v>0.4369854824935952</v>
      </c>
      <c r="L80" s="60">
        <f>L28/(L116)*1000</f>
        <v>-0.22474435329812339</v>
      </c>
      <c r="M80" s="60">
        <f>M28/(M116)*1000</f>
        <v>0.79751395649423862</v>
      </c>
      <c r="N80" s="52"/>
      <c r="O80" s="45">
        <f>O28/(O116)*1000</f>
        <v>1.7592359889419453</v>
      </c>
      <c r="P80" s="45">
        <f>P28/(P116)*1000-0.01</f>
        <v>0.83459459459459462</v>
      </c>
      <c r="Q80" s="60">
        <f>Q28/(Q116)*1000</f>
        <v>0.47231078049356479</v>
      </c>
      <c r="R80" s="60">
        <f>R28/(R116)*1000</f>
        <v>1.078942636216508</v>
      </c>
      <c r="S80" s="60">
        <f>S28/(S116)*1000</f>
        <v>1.0285420416559528</v>
      </c>
      <c r="U80" s="45">
        <f>U28/(U116)*1000</f>
        <v>0.99552015928322546</v>
      </c>
      <c r="V80" s="45">
        <f>V28/(V116)*1000</f>
        <v>1.6573874219593634</v>
      </c>
      <c r="W80" s="60">
        <f>W28/(W116)*1000</f>
        <v>2.6737967914438503</v>
      </c>
      <c r="X80" s="60">
        <f>X28/(X116)*1000</f>
        <v>3.1599736668861094</v>
      </c>
      <c r="Y80" s="60">
        <f>Y28/(Y116)*1000</f>
        <v>2.1066965179179329</v>
      </c>
    </row>
    <row r="81" spans="2:26" x14ac:dyDescent="0.25">
      <c r="B81" s="6" t="s">
        <v>65</v>
      </c>
      <c r="C81" s="7"/>
      <c r="E81" s="113">
        <f>SUM(E69:E80)-0.01</f>
        <v>93.180593190593171</v>
      </c>
      <c r="F81" s="114">
        <f>SUM(F69:F80)+0.01</f>
        <v>41.161455009572435</v>
      </c>
      <c r="G81" s="115">
        <f>SUM(G69:G80)</f>
        <v>85.131627734519839</v>
      </c>
      <c r="H81" s="84"/>
      <c r="I81" s="111">
        <f>SUM(I69:I80)</f>
        <v>48.72052743323276</v>
      </c>
      <c r="J81" s="111">
        <f>SUM(J69:J80)</f>
        <v>43.078941613820241</v>
      </c>
      <c r="K81" s="112">
        <f>SUM(K69:K80)</f>
        <v>49.967301451750629</v>
      </c>
      <c r="L81" s="112">
        <f>SUM(L69:L80)+0.01</f>
        <v>47.441058545904035</v>
      </c>
      <c r="M81" s="112">
        <f>SUM(M69:M80)+0.01</f>
        <v>47.310827764485872</v>
      </c>
      <c r="N81" s="52"/>
      <c r="O81" s="111">
        <f>SUM(O69:O80)+0.01</f>
        <v>49.78124654435787</v>
      </c>
      <c r="P81" s="111">
        <f>SUM(P69:P80)</f>
        <v>57.060463320463306</v>
      </c>
      <c r="Q81" s="112">
        <f>SUM(Q69:Q80)+0.01</f>
        <v>63.299644586137674</v>
      </c>
      <c r="R81" s="112">
        <f>SUM(R69:R80)</f>
        <v>65.815500809206981</v>
      </c>
      <c r="S81" s="112">
        <f>SUM(S69:S80)</f>
        <v>59.110916158697989</v>
      </c>
      <c r="T81" s="52"/>
      <c r="U81" s="111">
        <f>SUM(U69:U80)+0.01</f>
        <v>79.402732702837241</v>
      </c>
      <c r="V81" s="111">
        <f>SUM(V69:V80)-0.01</f>
        <v>56.596155026919789</v>
      </c>
      <c r="W81" s="112">
        <f>SUM(W69:W80)+0.01</f>
        <v>60.488736949325187</v>
      </c>
      <c r="X81" s="112">
        <f>SUM(X69:X80)</f>
        <v>61.619486504279124</v>
      </c>
      <c r="Y81" s="112">
        <f>SUM(Y69:Y80)</f>
        <v>64.637279527027502</v>
      </c>
      <c r="Z81" s="52"/>
    </row>
    <row r="82" spans="2:26" ht="12.45" customHeight="1" x14ac:dyDescent="0.25">
      <c r="B82" s="37" t="s">
        <v>67</v>
      </c>
      <c r="C82" s="7"/>
      <c r="E82" s="109">
        <f>E30/(E$116)*1000</f>
        <v>0</v>
      </c>
      <c r="F82" s="93">
        <f>F30/(F$116)*1000</f>
        <v>0</v>
      </c>
      <c r="G82" s="110">
        <f>G30/(G$116)*1000</f>
        <v>0</v>
      </c>
      <c r="H82" s="84"/>
      <c r="I82" s="45">
        <f>I30/(I$116)*1000</f>
        <v>0.22348865795060902</v>
      </c>
      <c r="J82" s="45">
        <f>J30/(J$116)*1000</f>
        <v>0</v>
      </c>
      <c r="K82" s="60">
        <f>K30/(K$116)*1000</f>
        <v>0.2134927412467976</v>
      </c>
      <c r="L82" s="60">
        <f>L30/(L$116)*1000+0.01</f>
        <v>13.494661197887403</v>
      </c>
      <c r="M82" s="60">
        <f>M30/(M$116)*1000+0.01</f>
        <v>3.4200596760443305</v>
      </c>
      <c r="N82" s="52"/>
      <c r="O82" s="45">
        <f>O30/(O$116)*1000</f>
        <v>6.7856245287760748</v>
      </c>
      <c r="P82" s="45">
        <f>P30/(P$116)*1000</f>
        <v>0.48262548262548266</v>
      </c>
      <c r="Q82" s="60">
        <f>Q30/(Q$116)*1000</f>
        <v>0.23615539024678239</v>
      </c>
      <c r="R82" s="60">
        <f>R30/(R$116)*1000</f>
        <v>-0.11988251513516752</v>
      </c>
      <c r="S82" s="60">
        <f>S30/(S$116)*1000</f>
        <v>1.784822954638271</v>
      </c>
      <c r="U82" s="45">
        <f>U30/(U$116)*1000</f>
        <v>0.87108013937282225</v>
      </c>
      <c r="V82" s="45">
        <f>V30/(V$116)*1000</f>
        <v>0</v>
      </c>
      <c r="W82" s="60">
        <f>W30/(W$116)*1000</f>
        <v>0</v>
      </c>
      <c r="X82" s="60">
        <f>X30/(X$116)*1000</f>
        <v>3.2916392363396971</v>
      </c>
      <c r="Y82" s="60">
        <f>Y30/(Y$116)*1000</f>
        <v>1.0214286147480887</v>
      </c>
    </row>
    <row r="83" spans="2:26" x14ac:dyDescent="0.25">
      <c r="B83" s="1" t="s">
        <v>29</v>
      </c>
      <c r="C83" s="7"/>
      <c r="E83" s="52">
        <f>+E66-E81+E82</f>
        <v>-52.025802035802016</v>
      </c>
      <c r="F83" s="91">
        <f>+F66-F81+F82</f>
        <v>-16.921295469049145</v>
      </c>
      <c r="G83" s="52">
        <f>+G66-G81+G82</f>
        <v>-46.604982078853055</v>
      </c>
      <c r="H83" s="84"/>
      <c r="I83" s="44">
        <f>+I66-I81+I82</f>
        <v>-7.9338473572466217</v>
      </c>
      <c r="J83" s="44">
        <f>+J66-J81+J82</f>
        <v>-9.8403673737152815</v>
      </c>
      <c r="K83" s="44">
        <f>+K66-K81+K82+0.01</f>
        <v>13.023057216054664</v>
      </c>
      <c r="L83" s="44">
        <f>+L66-L81+L82</f>
        <v>37.300350601191155</v>
      </c>
      <c r="M83" s="44">
        <f>+M66-M81+M82</f>
        <v>8.0576410087176651</v>
      </c>
      <c r="N83" s="44"/>
      <c r="O83" s="44">
        <f>+O66-O81+O82+0.01</f>
        <v>-23.759685850716263</v>
      </c>
      <c r="P83" s="44">
        <f>+P66-P81+P82</f>
        <v>33.542471042471043</v>
      </c>
      <c r="Q83" s="44">
        <f>+Q66-Q81+Q82+0.01</f>
        <v>69.783917817924205</v>
      </c>
      <c r="R83" s="44">
        <f>+R66-R81+R82</f>
        <v>15.826980159443742</v>
      </c>
      <c r="S83" s="44">
        <f>+S66-S81+S82</f>
        <v>24.564004053665698</v>
      </c>
      <c r="T83" s="32"/>
      <c r="U83" s="44">
        <f>+U66-U81+U82+0.01</f>
        <v>48.904927824788437</v>
      </c>
      <c r="V83" s="44">
        <f>+V66-V81+V82</f>
        <v>18.7512270021559</v>
      </c>
      <c r="W83" s="44">
        <f>+W66-W81+W82</f>
        <v>-1.9098548510313407</v>
      </c>
      <c r="X83" s="44">
        <f>+X66-X81+X82</f>
        <v>37.256886109282441</v>
      </c>
      <c r="Y83" s="44">
        <f>+Y66-Y81+Y82</f>
        <v>25.791072522389229</v>
      </c>
      <c r="Z83" s="32"/>
    </row>
    <row r="84" spans="2:26" ht="4.95" customHeight="1" x14ac:dyDescent="0.25">
      <c r="B84" s="1"/>
      <c r="C84" s="7"/>
      <c r="E84" s="52"/>
      <c r="F84" s="91"/>
      <c r="G84" s="52"/>
      <c r="H84" s="84"/>
      <c r="I84" s="44"/>
      <c r="J84" s="44"/>
      <c r="K84" s="52"/>
      <c r="L84" s="52"/>
      <c r="M84" s="52"/>
      <c r="N84" s="52"/>
      <c r="O84" s="44"/>
      <c r="P84" s="44"/>
      <c r="Q84" s="52"/>
      <c r="R84" s="52"/>
      <c r="S84" s="52"/>
      <c r="U84" s="44"/>
      <c r="V84" s="44"/>
      <c r="W84" s="52"/>
      <c r="X84" s="52"/>
      <c r="Y84" s="52"/>
    </row>
    <row r="85" spans="2:26" ht="13.95" customHeight="1" x14ac:dyDescent="0.25">
      <c r="B85" s="1" t="s">
        <v>71</v>
      </c>
      <c r="C85" s="7"/>
      <c r="E85" s="52"/>
      <c r="F85" s="91"/>
      <c r="G85" s="52"/>
      <c r="H85" s="84"/>
      <c r="I85" s="44"/>
      <c r="J85" s="44"/>
      <c r="K85" s="52"/>
      <c r="L85" s="52"/>
      <c r="M85" s="52"/>
      <c r="N85" s="52"/>
      <c r="O85" s="44"/>
      <c r="P85" s="44"/>
      <c r="Q85" s="52"/>
      <c r="R85" s="52"/>
      <c r="S85" s="52"/>
      <c r="U85" s="44"/>
      <c r="V85" s="44"/>
      <c r="W85" s="52"/>
      <c r="X85" s="52"/>
      <c r="Y85" s="52"/>
    </row>
    <row r="86" spans="2:26" ht="13.95" customHeight="1" x14ac:dyDescent="0.25">
      <c r="B86" s="63" t="s">
        <v>68</v>
      </c>
      <c r="C86" s="7"/>
      <c r="E86" s="52">
        <f>E34/(E116)*1000</f>
        <v>118.75511875511876</v>
      </c>
      <c r="F86" s="91">
        <f>F34/(F116)*1000</f>
        <v>-0.47862156987874921</v>
      </c>
      <c r="G86" s="52">
        <f>G34/(G116)*1000</f>
        <v>100.28426646891609</v>
      </c>
      <c r="H86" s="84"/>
      <c r="I86" s="44">
        <f>I34/(I116)*1000</f>
        <v>-0.22348865795060902</v>
      </c>
      <c r="J86" s="44">
        <f>J34/(J116)*1000</f>
        <v>-0.21867483052700634</v>
      </c>
      <c r="K86" s="52">
        <f>K34/(K116)*1000</f>
        <v>-0.1067463706233988</v>
      </c>
      <c r="L86" s="52">
        <f>L34/(L116)*1000</f>
        <v>-0.1123721766490617</v>
      </c>
      <c r="M86" s="52">
        <f>M34/(M116)*1000</f>
        <v>-0.16500288755053213</v>
      </c>
      <c r="N86" s="52"/>
      <c r="O86" s="44">
        <f>O34/(O116)*1000</f>
        <v>0</v>
      </c>
      <c r="P86" s="44">
        <f>P34/(P116)*1000</f>
        <v>0</v>
      </c>
      <c r="Q86" s="52">
        <f>Q34/(Q116)*1000</f>
        <v>0</v>
      </c>
      <c r="R86" s="52">
        <f>R34/(R116)*1000</f>
        <v>0</v>
      </c>
      <c r="S86" s="52">
        <f>S34/(S116)*1000</f>
        <v>0</v>
      </c>
      <c r="U86" s="44">
        <f>U34/(U116)*1000</f>
        <v>0</v>
      </c>
      <c r="V86" s="44">
        <f>V34/(V116)*1000</f>
        <v>0</v>
      </c>
      <c r="W86" s="52">
        <f>W34/(W116)*1000</f>
        <v>0</v>
      </c>
      <c r="X86" s="52">
        <f>X34/(X116)*1000</f>
        <v>0</v>
      </c>
      <c r="Y86" s="52">
        <f>Y34/(Y116)*1000</f>
        <v>0</v>
      </c>
    </row>
    <row r="87" spans="2:26" ht="13.95" customHeight="1" x14ac:dyDescent="0.25">
      <c r="B87" s="63" t="s">
        <v>19</v>
      </c>
      <c r="C87" s="7"/>
      <c r="E87" s="52">
        <f>E35/(E116)*1000</f>
        <v>-6.0255060255060249</v>
      </c>
      <c r="F87" s="91">
        <f>F35/(F116)*1000</f>
        <v>-1.7549457562220803</v>
      </c>
      <c r="G87" s="52">
        <f>G35/(G116)*1000</f>
        <v>-5.3639846743295019</v>
      </c>
      <c r="H87" s="84"/>
      <c r="I87" s="44">
        <f>I35/(I116)*1000</f>
        <v>-1.4526762766789585</v>
      </c>
      <c r="J87" s="44">
        <f>J35/(J116)*1000</f>
        <v>-1.4213863984255413</v>
      </c>
      <c r="K87" s="52">
        <f>K35/(K116)*1000</f>
        <v>-1.4944491887275833</v>
      </c>
      <c r="L87" s="52">
        <f>L35/(L116)*1000</f>
        <v>-1.5732104730868637</v>
      </c>
      <c r="M87" s="52">
        <f>M35/(M116)*1000+0.01</f>
        <v>-1.4750259879547891</v>
      </c>
      <c r="N87" s="52"/>
      <c r="O87" s="44">
        <f>O35/(O116)*1000</f>
        <v>-1.6335762754460921</v>
      </c>
      <c r="P87" s="44">
        <f>P35/(P116)*1000</f>
        <v>-1.5685328185328185</v>
      </c>
      <c r="Q87" s="52">
        <f>Q35/(Q116)*1000</f>
        <v>-1.5350100366040855</v>
      </c>
      <c r="R87" s="52">
        <f>R35/(R116)*1000</f>
        <v>-1.6783552118923455</v>
      </c>
      <c r="S87" s="52">
        <f>S35/(S116)*1000</f>
        <v>-1.6033155355225144</v>
      </c>
      <c r="U87" s="44">
        <f>U35/(U116)*1000</f>
        <v>-1.7421602787456445</v>
      </c>
      <c r="V87" s="44">
        <f>V35/(V116)*1000</f>
        <v>-1.7848787621100837</v>
      </c>
      <c r="W87" s="52">
        <f>W35/(W116)*1000</f>
        <v>-1.9098548510313218</v>
      </c>
      <c r="X87" s="52">
        <f>X35/(X116)*1000</f>
        <v>-1.7116524028966427</v>
      </c>
      <c r="Y87" s="52">
        <f>Y35/(Y116)*1000</f>
        <v>-1.7875000758091553</v>
      </c>
    </row>
    <row r="88" spans="2:26" ht="13.95" customHeight="1" x14ac:dyDescent="0.25">
      <c r="B88" s="63" t="s">
        <v>85</v>
      </c>
      <c r="C88" s="7"/>
      <c r="E88" s="52"/>
      <c r="F88" s="91"/>
      <c r="G88" s="52"/>
      <c r="H88" s="84"/>
      <c r="I88" s="44"/>
      <c r="J88" s="44"/>
      <c r="K88" s="52"/>
      <c r="L88" s="52"/>
      <c r="M88" s="52"/>
      <c r="N88" s="52"/>
      <c r="O88" s="44">
        <f>O36/(O116)*1000</f>
        <v>0</v>
      </c>
      <c r="P88" s="44">
        <f>P36/(P116)*1000</f>
        <v>0</v>
      </c>
      <c r="Q88" s="52">
        <f>Q36/(Q116)*1000</f>
        <v>0</v>
      </c>
      <c r="R88" s="52">
        <f>R36/(R116)*1000</f>
        <v>-0.11988251513516752</v>
      </c>
      <c r="S88" s="52">
        <f>S36/(S116)*1000</f>
        <v>-3.0251236519292728E-2</v>
      </c>
      <c r="U88" s="44">
        <f>U36/(U116)*1000</f>
        <v>-0.24888003982080636</v>
      </c>
      <c r="V88" s="44">
        <f>V36/(V116)*1000</f>
        <v>-0.12749134015072025</v>
      </c>
      <c r="W88" s="52">
        <f>W36/(W116)*1000</f>
        <v>-0.3819709702062643</v>
      </c>
      <c r="X88" s="52">
        <f>X36/(X116)*1000</f>
        <v>-0.39499670836076367</v>
      </c>
      <c r="Y88" s="52">
        <f>Y36/(Y116)*1000</f>
        <v>-0.28727679789789995</v>
      </c>
    </row>
    <row r="89" spans="2:26" ht="13.95" customHeight="1" x14ac:dyDescent="0.25">
      <c r="B89" s="63" t="s">
        <v>58</v>
      </c>
      <c r="C89" s="7"/>
      <c r="E89" s="52">
        <f>+E37/E116*1000</f>
        <v>0.14625014625014623</v>
      </c>
      <c r="F89" s="91">
        <f>+F37/F116*1000</f>
        <v>0</v>
      </c>
      <c r="G89" s="52">
        <f>+G37/G116*1000</f>
        <v>0.12359411692003462</v>
      </c>
      <c r="H89" s="84"/>
      <c r="I89" s="44">
        <f>+I37/I116*1000</f>
        <v>-0.22348865795060902</v>
      </c>
      <c r="J89" s="44">
        <f>+J37/J116*1000</f>
        <v>0</v>
      </c>
      <c r="K89" s="52">
        <f>+K37/K116*1000</f>
        <v>0</v>
      </c>
      <c r="L89" s="52">
        <f>+L37/L116*1000</f>
        <v>0</v>
      </c>
      <c r="M89" s="52">
        <f>+M37/M116*1000</f>
        <v>-5.5000962516844047E-2</v>
      </c>
      <c r="N89" s="52"/>
      <c r="O89" s="44">
        <f>+O37/O116*1000</f>
        <v>0</v>
      </c>
      <c r="P89" s="44">
        <f>+P37/P116*1000</f>
        <v>0</v>
      </c>
      <c r="Q89" s="52">
        <f>+Q37/Q116*1000</f>
        <v>0</v>
      </c>
      <c r="R89" s="52">
        <f>+R37/R116*1000</f>
        <v>0</v>
      </c>
      <c r="S89" s="52">
        <f>+S37/S116*1000</f>
        <v>0</v>
      </c>
      <c r="U89" s="44">
        <f>+U37/U116*1000</f>
        <v>0</v>
      </c>
      <c r="V89" s="44">
        <f>+V37/V116*1000</f>
        <v>0</v>
      </c>
      <c r="W89" s="52">
        <f>+W37/W116*1000</f>
        <v>0</v>
      </c>
      <c r="X89" s="52">
        <f>+X37/X116*1000</f>
        <v>-0.13166556945358787</v>
      </c>
      <c r="Y89" s="52">
        <f>+Y37/Y116*1000</f>
        <v>-3.1919644210877771E-2</v>
      </c>
    </row>
    <row r="90" spans="2:26" ht="13.95" hidden="1" customHeight="1" x14ac:dyDescent="0.25">
      <c r="B90" s="63"/>
      <c r="C90" s="7"/>
      <c r="E90" s="52">
        <f>+E38/E116*1000</f>
        <v>0</v>
      </c>
      <c r="F90" s="91">
        <f>+F38/F116*1000</f>
        <v>0</v>
      </c>
      <c r="G90" s="52">
        <f>+G38/G116*1000</f>
        <v>0</v>
      </c>
      <c r="H90" s="84"/>
      <c r="I90" s="44">
        <f>+I38/I116*1000</f>
        <v>0</v>
      </c>
      <c r="J90" s="44">
        <f>+J38/J116*1000</f>
        <v>0</v>
      </c>
      <c r="K90" s="52">
        <f>+K38/K116*1000</f>
        <v>0</v>
      </c>
      <c r="L90" s="52">
        <f>+L38/L116*1000</f>
        <v>0</v>
      </c>
      <c r="M90" s="52">
        <f>+M38/M116*1000</f>
        <v>0</v>
      </c>
      <c r="N90" s="52"/>
      <c r="O90" s="44">
        <f>+O38/O116*1000</f>
        <v>0</v>
      </c>
      <c r="P90" s="44">
        <f>+P38/P116*1000</f>
        <v>0</v>
      </c>
      <c r="Q90" s="52">
        <f>+Q38/Q116*1000</f>
        <v>0</v>
      </c>
      <c r="R90" s="52">
        <f>+R38/R116*1000</f>
        <v>0</v>
      </c>
      <c r="S90" s="52">
        <f>+S38/S116*1000</f>
        <v>0</v>
      </c>
      <c r="U90" s="44">
        <f>+U38/U116*1000</f>
        <v>0</v>
      </c>
      <c r="V90" s="44">
        <f>+V38/V116*1000</f>
        <v>0</v>
      </c>
      <c r="W90" s="52">
        <f>+W38/W116*1000</f>
        <v>0</v>
      </c>
      <c r="X90" s="52">
        <f>+X38/X116*1000</f>
        <v>0</v>
      </c>
      <c r="Y90" s="52">
        <f>+Y38/Y116*1000</f>
        <v>0</v>
      </c>
    </row>
    <row r="91" spans="2:26" ht="13.95" customHeight="1" x14ac:dyDescent="0.25">
      <c r="B91" s="63" t="s">
        <v>88</v>
      </c>
      <c r="C91" s="7"/>
      <c r="E91" s="60">
        <f>+E39/E116*1000-0.01</f>
        <v>-2.4670024570024567</v>
      </c>
      <c r="F91" s="93">
        <f>+F39/F116*1000</f>
        <v>-0.79770261646458207</v>
      </c>
      <c r="G91" s="60">
        <f>+G39/G116*1000+0.01</f>
        <v>-2.1899752811766162</v>
      </c>
      <c r="H91" s="84"/>
      <c r="I91" s="45">
        <f>+I39/I116*1000</f>
        <v>-0.11174432897530451</v>
      </c>
      <c r="J91" s="45">
        <f>+J39/J116*1000</f>
        <v>-0.21867483052700634</v>
      </c>
      <c r="K91" s="60">
        <f>+K39/K116*1000</f>
        <v>0</v>
      </c>
      <c r="L91" s="60">
        <f>+L39/L116*1000</f>
        <v>0.1123721766490617</v>
      </c>
      <c r="M91" s="60">
        <f>+M39/M116*1000</f>
        <v>-5.5000962516844047E-2</v>
      </c>
      <c r="N91" s="52"/>
      <c r="O91" s="45">
        <f>+O39/O116*1000</f>
        <v>0.12565971349585323</v>
      </c>
      <c r="P91" s="45">
        <f>+P39/P116*1000</f>
        <v>0.12065637065637067</v>
      </c>
      <c r="Q91" s="60">
        <f>+Q39/Q116*1000</f>
        <v>0.1180776951233912</v>
      </c>
      <c r="R91" s="60">
        <f>+R39/R116*1000</f>
        <v>0</v>
      </c>
      <c r="S91" s="60">
        <f>+S39/S116*1000</f>
        <v>9.0753709557878176E-2</v>
      </c>
      <c r="U91" s="45">
        <f>+U39/U116*1000</f>
        <v>-0.12444001991040318</v>
      </c>
      <c r="V91" s="45">
        <f>+V39/V116*1000</f>
        <v>0.38247402045216078</v>
      </c>
      <c r="W91" s="60">
        <f>+W39/W116*1000</f>
        <v>0.3819709702062643</v>
      </c>
      <c r="X91" s="60">
        <f>+X39/X116*1000</f>
        <v>0.13166556945358787</v>
      </c>
      <c r="Y91" s="60">
        <f>+Y39/Y116*1000</f>
        <v>0.19151786526526662</v>
      </c>
    </row>
    <row r="92" spans="2:26" ht="3.6" customHeight="1" x14ac:dyDescent="0.25">
      <c r="B92" s="1"/>
      <c r="C92" s="7"/>
      <c r="E92" s="52"/>
      <c r="F92" s="91"/>
      <c r="G92" s="52"/>
      <c r="H92" s="84"/>
      <c r="I92" s="44"/>
      <c r="J92" s="44"/>
      <c r="K92" s="52"/>
      <c r="L92" s="52"/>
      <c r="M92" s="52"/>
      <c r="N92" s="52"/>
      <c r="O92" s="44"/>
      <c r="P92" s="44"/>
      <c r="Q92" s="52"/>
      <c r="R92" s="52"/>
      <c r="S92" s="52"/>
      <c r="U92" s="44"/>
      <c r="V92" s="44"/>
      <c r="W92" s="52"/>
      <c r="X92" s="52"/>
      <c r="Y92" s="52"/>
    </row>
    <row r="93" spans="2:26" ht="14.7" customHeight="1" x14ac:dyDescent="0.25">
      <c r="B93" s="1" t="s">
        <v>26</v>
      </c>
      <c r="C93" s="7"/>
      <c r="E93" s="61">
        <f t="shared" ref="E93" si="48">+E83+E86+E87+E89+E91+E90</f>
        <v>58.383058383058405</v>
      </c>
      <c r="F93" s="92">
        <f>+F83+F86+F87+F89+F91+F90</f>
        <v>-19.952565411614561</v>
      </c>
      <c r="G93" s="61">
        <f>+G83+G86+G87+G89+G91+G90</f>
        <v>46.248918551476947</v>
      </c>
      <c r="H93" s="84"/>
      <c r="I93" s="32">
        <f>+I83+I86+I87+I89+I91+I90+0.01</f>
        <v>-9.9352452788021033</v>
      </c>
      <c r="J93" s="32">
        <f>+J83+J86+J87+J89+J91+J90</f>
        <v>-11.699103433194837</v>
      </c>
      <c r="K93" s="32">
        <f>+K83+K86+K87+K89+K91+K90</f>
        <v>11.421861656703683</v>
      </c>
      <c r="L93" s="32">
        <f>+L83+L86+L87+L89+L91+L90</f>
        <v>35.727140128104288</v>
      </c>
      <c r="M93" s="32">
        <f>+M83+M86+M87+M89+M91+M90-0.02</f>
        <v>6.2876102081786573</v>
      </c>
      <c r="N93" s="32"/>
      <c r="O93" s="32">
        <f>+O83+O86+O87+O89+O91+O90+0.01</f>
        <v>-25.2576024126665</v>
      </c>
      <c r="P93" s="32">
        <f>+P83+P86+P87+P89+P91+P90</f>
        <v>32.094594594594597</v>
      </c>
      <c r="Q93" s="32">
        <f>+Q83+Q86+Q87+Q89+Q91+Q90</f>
        <v>68.366985476443503</v>
      </c>
      <c r="R93" s="32">
        <f>+R83+R86+R87+R88+R89+R91+R90</f>
        <v>14.02874243241623</v>
      </c>
      <c r="S93" s="32">
        <f>+S83+S86+S87+S88+S89+S91+S90</f>
        <v>23.021190991181768</v>
      </c>
      <c r="T93" s="32"/>
      <c r="U93" s="32">
        <f>+U83+U86+U87+U88+U89+U91+U90</f>
        <v>46.789447486311587</v>
      </c>
      <c r="V93" s="32">
        <f t="shared" ref="V93:X93" si="49">+V83+V86+V87+V88+V89+V91+V90</f>
        <v>17.22133092034726</v>
      </c>
      <c r="W93" s="32">
        <f t="shared" si="49"/>
        <v>-3.8197097020626631</v>
      </c>
      <c r="X93" s="32">
        <f t="shared" si="49"/>
        <v>35.150236998025036</v>
      </c>
      <c r="Y93" s="32">
        <f>+Y83+Y86+Y87+Y88+Y89+Y91+Y90</f>
        <v>23.875893869736561</v>
      </c>
      <c r="Z93" s="32"/>
    </row>
    <row r="94" spans="2:26" ht="14.7" customHeight="1" x14ac:dyDescent="0.25">
      <c r="B94" s="37" t="s">
        <v>69</v>
      </c>
      <c r="C94" s="7"/>
      <c r="E94" s="60">
        <f>E41/(E116)*1000</f>
        <v>0</v>
      </c>
      <c r="F94" s="93">
        <f>F41/(F116)*1000</f>
        <v>0</v>
      </c>
      <c r="G94" s="60">
        <f>G41/(G116)*1000</f>
        <v>0</v>
      </c>
      <c r="H94" s="84"/>
      <c r="I94" s="45">
        <f>I41/(I116)*1000</f>
        <v>0</v>
      </c>
      <c r="J94" s="45">
        <f>J41/(J116)*1000</f>
        <v>0</v>
      </c>
      <c r="K94" s="60">
        <f>K41/(K116)*1000</f>
        <v>0</v>
      </c>
      <c r="L94" s="60">
        <f>L41/(L116)*1000</f>
        <v>44.499381953028433</v>
      </c>
      <c r="M94" s="60">
        <f>M41/(M116)*1000-0.01</f>
        <v>10.880190578335121</v>
      </c>
      <c r="N94" s="52"/>
      <c r="O94" s="45">
        <f>O41/(O116)*1000</f>
        <v>3.2671525508921841</v>
      </c>
      <c r="P94" s="45">
        <f>P41/(P116)*1000</f>
        <v>-9.1698841698841704</v>
      </c>
      <c r="Q94" s="60">
        <f>Q41/(Q116)*1000</f>
        <v>-18.065887353878853</v>
      </c>
      <c r="R94" s="60">
        <f>R41/(R116)*1000</f>
        <v>-4.0760055145956962</v>
      </c>
      <c r="S94" s="60">
        <f>S41/(S116)*1000</f>
        <v>-7.169543055072376</v>
      </c>
      <c r="U94" s="45">
        <f>U41/(U116)*1000</f>
        <v>-9.3330014932802392</v>
      </c>
      <c r="V94" s="45">
        <f>V41/(V116)*1000</f>
        <v>-4.8446709257273701</v>
      </c>
      <c r="W94" s="60">
        <f>W41/(W116)*1000</f>
        <v>1.0185892538833714</v>
      </c>
      <c r="X94" s="60">
        <f>X41/(X116)*1000</f>
        <v>-10.401579986833443</v>
      </c>
      <c r="Y94" s="60">
        <f>Y41/(Y116)*1000</f>
        <v>-5.8732145348015097</v>
      </c>
    </row>
    <row r="95" spans="2:26" ht="14.7" customHeight="1" x14ac:dyDescent="0.25">
      <c r="B95" s="1" t="s">
        <v>27</v>
      </c>
      <c r="C95" s="29"/>
      <c r="D95" s="28"/>
      <c r="E95" s="52">
        <f t="shared" ref="E95" si="50">SUM(E93:E94)</f>
        <v>58.383058383058405</v>
      </c>
      <c r="F95" s="91">
        <f t="shared" ref="F95" si="51">SUM(F93:F94)</f>
        <v>-19.952565411614561</v>
      </c>
      <c r="G95" s="52">
        <f>SUM(G93:G94)</f>
        <v>46.248918551476947</v>
      </c>
      <c r="H95" s="84"/>
      <c r="I95" s="44">
        <f>SUM(I93:I94)</f>
        <v>-9.9352452788021033</v>
      </c>
      <c r="J95" s="44">
        <f>SUM(J93:J94)</f>
        <v>-11.699103433194837</v>
      </c>
      <c r="K95" s="52">
        <f>SUM(K93:K94)</f>
        <v>11.421861656703683</v>
      </c>
      <c r="L95" s="52">
        <f>SUM(L93:L94)</f>
        <v>80.226522081132714</v>
      </c>
      <c r="M95" s="52">
        <f>SUM(M93:M94)</f>
        <v>17.16780078651378</v>
      </c>
      <c r="N95" s="52"/>
      <c r="O95" s="44">
        <f>SUM(O93:O94)</f>
        <v>-21.990449861774316</v>
      </c>
      <c r="P95" s="44">
        <f>SUM(P93:P94)</f>
        <v>22.924710424710426</v>
      </c>
      <c r="Q95" s="52">
        <f>SUM(Q93:Q94)</f>
        <v>50.301098122564653</v>
      </c>
      <c r="R95" s="52">
        <f>SUM(R93:R94)</f>
        <v>9.952736917820534</v>
      </c>
      <c r="S95" s="52">
        <f>SUM(S93:S94)</f>
        <v>15.851647936109392</v>
      </c>
      <c r="T95" s="32"/>
      <c r="U95" s="44">
        <f>SUM(U93:U94)</f>
        <v>37.456445993031352</v>
      </c>
      <c r="V95" s="44">
        <f>SUM(V93:V94)</f>
        <v>12.376659994619889</v>
      </c>
      <c r="W95" s="52">
        <f>SUM(W93:W94)</f>
        <v>-2.801120448179292</v>
      </c>
      <c r="X95" s="52">
        <f>SUM(X93:X94)</f>
        <v>24.748657011191593</v>
      </c>
      <c r="Y95" s="52">
        <f>SUM(Y93:Y94)</f>
        <v>18.002679334935053</v>
      </c>
      <c r="Z95" s="52"/>
    </row>
    <row r="96" spans="2:26" ht="4.2" customHeight="1" x14ac:dyDescent="0.25">
      <c r="B96" s="1"/>
      <c r="C96" s="29"/>
      <c r="D96" s="28"/>
      <c r="E96" s="52"/>
      <c r="F96" s="91"/>
      <c r="G96" s="52"/>
      <c r="H96" s="84"/>
      <c r="I96" s="44"/>
      <c r="J96" s="44"/>
      <c r="K96" s="52"/>
      <c r="L96" s="52"/>
      <c r="M96" s="52"/>
      <c r="N96" s="52"/>
      <c r="O96" s="44"/>
      <c r="P96" s="44"/>
      <c r="Q96" s="52"/>
      <c r="R96" s="52"/>
      <c r="S96" s="52"/>
      <c r="U96" s="44"/>
      <c r="V96" s="44"/>
      <c r="W96" s="52"/>
      <c r="X96" s="52"/>
      <c r="Y96" s="52"/>
    </row>
    <row r="97" spans="2:25 16262:16262" ht="14.7" customHeight="1" x14ac:dyDescent="0.25">
      <c r="B97" s="80" t="s">
        <v>42</v>
      </c>
      <c r="C97" s="29"/>
      <c r="F97" s="90"/>
      <c r="H97" s="84"/>
      <c r="K97" s="34"/>
      <c r="L97" s="34"/>
      <c r="M97" s="34"/>
      <c r="N97" s="34"/>
      <c r="Q97" s="34"/>
      <c r="R97" s="34"/>
      <c r="S97" s="34"/>
      <c r="W97" s="34"/>
      <c r="X97" s="34"/>
      <c r="Y97" s="34"/>
      <c r="XAL97" s="45"/>
    </row>
    <row r="98" spans="2:25 16262:16262" ht="14.7" customHeight="1" x14ac:dyDescent="0.25">
      <c r="B98" s="69" t="s">
        <v>41</v>
      </c>
      <c r="C98" s="29"/>
      <c r="D98" s="28"/>
      <c r="E98" s="52">
        <f>E45/(E116)*1000</f>
        <v>-2.7495027495027493</v>
      </c>
      <c r="F98" s="91">
        <f>F45/(F116)*1000</f>
        <v>0</v>
      </c>
      <c r="G98" s="52">
        <f>G45/(G116)*1000-0.01</f>
        <v>-2.3335693980966501</v>
      </c>
      <c r="H98" s="84"/>
      <c r="I98" s="44">
        <f>I45/(I116)*1000</f>
        <v>0</v>
      </c>
      <c r="J98" s="44">
        <f>J45/(J116)*1000</f>
        <v>0</v>
      </c>
      <c r="K98" s="52">
        <f>K45/(K116)*1000</f>
        <v>0</v>
      </c>
      <c r="L98" s="52">
        <f>L45/(L116)*1000</f>
        <v>0</v>
      </c>
      <c r="M98" s="52">
        <f>M45/(M116)*1000</f>
        <v>0</v>
      </c>
      <c r="N98" s="52"/>
      <c r="O98" s="44">
        <f>O45/(O116)*1000</f>
        <v>0</v>
      </c>
      <c r="P98" s="44">
        <f>P45/(P116)*1000</f>
        <v>0</v>
      </c>
      <c r="Q98" s="52">
        <f>Q45/(Q116)*1000</f>
        <v>0</v>
      </c>
      <c r="R98" s="52">
        <f>R45/(R116)*1000</f>
        <v>0</v>
      </c>
      <c r="S98" s="52">
        <f>S45/(S116)*1000</f>
        <v>0</v>
      </c>
      <c r="U98" s="44">
        <f>U45/(U116)*1000</f>
        <v>0</v>
      </c>
      <c r="V98" s="44">
        <f>V45/(V116)*1000</f>
        <v>0</v>
      </c>
      <c r="W98" s="52">
        <f>W45/(W116)*1000</f>
        <v>0</v>
      </c>
      <c r="X98" s="52">
        <f>X45/(X116)*1000</f>
        <v>0</v>
      </c>
      <c r="Y98" s="52">
        <f>Y45/(Y116)*1000</f>
        <v>0</v>
      </c>
      <c r="XAL98" s="44"/>
    </row>
    <row r="99" spans="2:25 16262:16262" ht="14.7" customHeight="1" x14ac:dyDescent="0.25">
      <c r="B99" s="69" t="s">
        <v>70</v>
      </c>
      <c r="C99" s="29"/>
      <c r="D99" s="28"/>
      <c r="E99" s="60">
        <f>E46/(E116)*1000</f>
        <v>-0.38025038025038022</v>
      </c>
      <c r="F99" s="93">
        <f>F46/(F116)*1000+0.01</f>
        <v>0.32908104658583281</v>
      </c>
      <c r="G99" s="60">
        <f>G46/(G116)*1000</f>
        <v>-0.2719070572240761</v>
      </c>
      <c r="H99" s="84"/>
      <c r="I99" s="45">
        <f>I46/(I116)*1000</f>
        <v>-0.55872164487652254</v>
      </c>
      <c r="J99" s="45">
        <f>J46/(J116)*1000</f>
        <v>-0.43734966105401268</v>
      </c>
      <c r="K99" s="60">
        <f>K46/(K116)*1000</f>
        <v>-0.42698548249359519</v>
      </c>
      <c r="L99" s="60">
        <f>L46/(L116)*1000</f>
        <v>0</v>
      </c>
      <c r="M99" s="60">
        <f>M46/(M116)*1000</f>
        <v>-0.35750625635948624</v>
      </c>
      <c r="N99" s="52"/>
      <c r="O99" s="45">
        <f>O46/(O116)*1000</f>
        <v>0</v>
      </c>
      <c r="P99" s="45">
        <f>P46/(P116)*1000</f>
        <v>0</v>
      </c>
      <c r="Q99" s="60">
        <f>Q46/(Q116)*1000</f>
        <v>0</v>
      </c>
      <c r="R99" s="60">
        <f>R46/(R116)*1000</f>
        <v>0</v>
      </c>
      <c r="S99" s="60">
        <f>S46/(S116)*1000</f>
        <v>0</v>
      </c>
      <c r="U99" s="45">
        <f>U46/(U116)*1000</f>
        <v>0</v>
      </c>
      <c r="V99" s="45">
        <f>V46/(V116)*1000</f>
        <v>0</v>
      </c>
      <c r="W99" s="60">
        <f>W46/(W116)*1000</f>
        <v>0</v>
      </c>
      <c r="X99" s="60">
        <f>X46/(X116)*1000</f>
        <v>0</v>
      </c>
      <c r="Y99" s="60">
        <f>Y46/(Y116)*1000</f>
        <v>0</v>
      </c>
      <c r="XAL99" s="44"/>
    </row>
    <row r="100" spans="2:25 16262:16262" ht="14.7" customHeight="1" x14ac:dyDescent="0.25">
      <c r="B100" s="69" t="s">
        <v>43</v>
      </c>
      <c r="C100" s="29"/>
      <c r="D100" s="28"/>
      <c r="E100" s="52">
        <f t="shared" ref="E100" si="52">+E98+E99</f>
        <v>-3.1297531297531296</v>
      </c>
      <c r="F100" s="91">
        <f t="shared" ref="F100" si="53">+F98+F99</f>
        <v>0.32908104658583281</v>
      </c>
      <c r="G100" s="52">
        <f>+G98+G99+0.01</f>
        <v>-2.5954764553207266</v>
      </c>
      <c r="H100" s="84"/>
      <c r="I100" s="44">
        <f>+I98+I99</f>
        <v>-0.55872164487652254</v>
      </c>
      <c r="J100" s="44">
        <f>+J98+J99</f>
        <v>-0.43734966105401268</v>
      </c>
      <c r="K100" s="52">
        <f>+K98+K99</f>
        <v>-0.42698548249359519</v>
      </c>
      <c r="L100" s="52">
        <f>+L98+L99</f>
        <v>0</v>
      </c>
      <c r="M100" s="52">
        <f>+M98+M99</f>
        <v>-0.35750625635948624</v>
      </c>
      <c r="N100" s="52"/>
      <c r="O100" s="44">
        <f>+O98+O99</f>
        <v>0</v>
      </c>
      <c r="P100" s="44">
        <f>+P98+P99</f>
        <v>0</v>
      </c>
      <c r="Q100" s="52">
        <f>+Q98+Q99</f>
        <v>0</v>
      </c>
      <c r="R100" s="52">
        <f>+R98+R99</f>
        <v>0</v>
      </c>
      <c r="S100" s="52">
        <f>+S98+S99</f>
        <v>0</v>
      </c>
      <c r="U100" s="44">
        <f>+U98+U99</f>
        <v>0</v>
      </c>
      <c r="V100" s="44">
        <f>+V98+V99</f>
        <v>0</v>
      </c>
      <c r="W100" s="52">
        <f>+W98+W99</f>
        <v>0</v>
      </c>
      <c r="X100" s="52">
        <f>+X98+X99</f>
        <v>0</v>
      </c>
      <c r="Y100" s="52">
        <f>+Y98+Y99</f>
        <v>0</v>
      </c>
      <c r="XAL100" s="44"/>
    </row>
    <row r="101" spans="2:25 16262:16262" ht="1.95" customHeight="1" x14ac:dyDescent="0.25">
      <c r="B101" s="69"/>
      <c r="C101" s="29"/>
      <c r="D101" s="28"/>
      <c r="E101" s="52"/>
      <c r="F101" s="91"/>
      <c r="G101" s="52"/>
      <c r="H101" s="84"/>
      <c r="I101" s="44"/>
      <c r="J101" s="44"/>
      <c r="K101" s="52"/>
      <c r="L101" s="52"/>
      <c r="M101" s="52"/>
      <c r="N101" s="52"/>
      <c r="O101" s="44"/>
      <c r="P101" s="44"/>
      <c r="Q101" s="52"/>
      <c r="R101" s="52"/>
      <c r="S101" s="52"/>
      <c r="U101" s="44"/>
      <c r="V101" s="44"/>
      <c r="W101" s="52"/>
      <c r="X101" s="52"/>
      <c r="Y101" s="52"/>
      <c r="XAL101" s="44"/>
    </row>
    <row r="102" spans="2:25 16262:16262" ht="14.7" customHeight="1" thickBot="1" x14ac:dyDescent="0.3">
      <c r="B102" s="1" t="s">
        <v>28</v>
      </c>
      <c r="C102" s="29"/>
      <c r="D102" s="28"/>
      <c r="E102" s="81">
        <f t="shared" ref="E102" si="54">+E95+E100</f>
        <v>55.253305253305278</v>
      </c>
      <c r="F102" s="94">
        <f>+F95+F100</f>
        <v>-19.623484365028727</v>
      </c>
      <c r="G102" s="81">
        <f>+G95+G100</f>
        <v>43.653442096156219</v>
      </c>
      <c r="H102" s="84"/>
      <c r="I102" s="46">
        <f>+I95+I100-0.01</f>
        <v>-10.503966923678625</v>
      </c>
      <c r="J102" s="46">
        <f>+J95+J100</f>
        <v>-12.13645309424885</v>
      </c>
      <c r="K102" s="81">
        <f>+K95+K100</f>
        <v>10.994876174210088</v>
      </c>
      <c r="L102" s="81">
        <f>+L95+L100</f>
        <v>80.226522081132714</v>
      </c>
      <c r="M102" s="81">
        <f>+M95+M100</f>
        <v>16.810294530154295</v>
      </c>
      <c r="N102" s="79"/>
      <c r="O102" s="46">
        <f>+O95+O100</f>
        <v>-21.990449861774316</v>
      </c>
      <c r="P102" s="46">
        <f>+P95+P100</f>
        <v>22.924710424710426</v>
      </c>
      <c r="Q102" s="81">
        <f>+Q95+Q100</f>
        <v>50.301098122564653</v>
      </c>
      <c r="R102" s="81">
        <f>+R95+R100</f>
        <v>9.952736917820534</v>
      </c>
      <c r="S102" s="81">
        <f>+S95+S100</f>
        <v>15.851647936109392</v>
      </c>
      <c r="T102" s="79"/>
      <c r="U102" s="46">
        <f>+U95+U100</f>
        <v>37.456445993031352</v>
      </c>
      <c r="V102" s="46">
        <f>+V95+V100</f>
        <v>12.376659994619889</v>
      </c>
      <c r="W102" s="81">
        <f>+W95+W100</f>
        <v>-2.801120448179292</v>
      </c>
      <c r="X102" s="81">
        <f>+X95+X100</f>
        <v>24.748657011191593</v>
      </c>
      <c r="Y102" s="81">
        <f>+Y95+Y100</f>
        <v>18.002679334935053</v>
      </c>
    </row>
    <row r="103" spans="2:25 16262:16262" ht="13.8" thickTop="1" x14ac:dyDescent="0.25">
      <c r="E103" s="58"/>
      <c r="F103" s="95"/>
      <c r="G103" s="58"/>
      <c r="J103" s="23"/>
      <c r="K103" s="58"/>
      <c r="L103" s="58"/>
      <c r="M103" s="34"/>
      <c r="N103" s="34"/>
      <c r="P103" s="23"/>
      <c r="Q103" s="58"/>
      <c r="R103" s="58"/>
      <c r="S103" s="34"/>
      <c r="V103" s="43"/>
      <c r="W103" s="58"/>
      <c r="X103" s="58"/>
      <c r="Y103" s="34"/>
    </row>
    <row r="104" spans="2:25 16262:16262" x14ac:dyDescent="0.25">
      <c r="B104" t="s">
        <v>75</v>
      </c>
      <c r="E104" s="135">
        <f>E55/(E116)*1000</f>
        <v>35.1000351000351</v>
      </c>
      <c r="F104" s="122">
        <f>F55/(F116)*1000</f>
        <v>37.651563497128265</v>
      </c>
      <c r="G104" s="135">
        <f>G55/(G116)*1000</f>
        <v>35.496230379433939</v>
      </c>
      <c r="H104" s="121"/>
      <c r="I104" s="120">
        <f>I55/(I116)*1000</f>
        <v>43.915521287294673</v>
      </c>
      <c r="J104" s="120">
        <f>J55/(J116)*1000</f>
        <v>43.297616444347256</v>
      </c>
      <c r="K104" s="120">
        <f>K55/(K116)*1000</f>
        <v>48.035866780529467</v>
      </c>
      <c r="L104" s="120">
        <f>L55/(L116)*1000</f>
        <v>55.062366558040225</v>
      </c>
      <c r="M104" s="120">
        <f>M55/(M116)*1000</f>
        <v>47.548332095811674</v>
      </c>
      <c r="N104" s="121"/>
      <c r="O104" s="120">
        <f>O55/(O116)*1000</f>
        <v>56.169891932646394</v>
      </c>
      <c r="P104" s="120">
        <f>P55/(P116)*1000</f>
        <v>57.553088803088805</v>
      </c>
      <c r="Q104" s="120">
        <f>Q55/(Q116)*1000</f>
        <v>58.802692171448811</v>
      </c>
      <c r="R104" s="120">
        <f>R55/(R116)*1000</f>
        <v>57.903254810285922</v>
      </c>
      <c r="S104" s="120">
        <f>S55/(S116)*1000</f>
        <v>57.628605569252642</v>
      </c>
      <c r="U104" s="120">
        <f>U55/(U116)*1000</f>
        <v>80.886012941762061</v>
      </c>
      <c r="V104" s="120">
        <f>V55/(V116)*1000</f>
        <v>48.95667461787658</v>
      </c>
      <c r="W104" s="120">
        <f>W55/(W116)*1000</f>
        <v>52.839317545199897</v>
      </c>
      <c r="X104" s="120">
        <f>X55/(X116)*1000</f>
        <v>57.142857142857139</v>
      </c>
      <c r="Y104" s="120">
        <f>Y55/(Y116)*1000</f>
        <v>60.104690049082841</v>
      </c>
    </row>
    <row r="105" spans="2:25 16262:16262" x14ac:dyDescent="0.25">
      <c r="E105" s="58"/>
      <c r="F105" s="119"/>
      <c r="G105" s="58"/>
      <c r="J105" s="23"/>
      <c r="K105" s="58"/>
      <c r="L105" s="58"/>
      <c r="M105" s="34"/>
      <c r="N105" s="34"/>
      <c r="P105" s="23"/>
      <c r="Q105" s="58"/>
      <c r="R105" s="58"/>
      <c r="S105" s="34"/>
      <c r="V105" s="23"/>
      <c r="W105" s="58"/>
      <c r="X105" s="58"/>
      <c r="Y105" s="34"/>
    </row>
    <row r="106" spans="2:25 16262:16262" x14ac:dyDescent="0.25">
      <c r="E106" s="136"/>
      <c r="F106" s="137"/>
      <c r="G106" s="136"/>
      <c r="I106" s="32"/>
      <c r="J106" s="62"/>
      <c r="K106" s="62"/>
      <c r="L106" s="32"/>
      <c r="M106" s="32"/>
      <c r="N106" s="32"/>
      <c r="O106" s="32"/>
      <c r="P106" s="62"/>
      <c r="Q106" s="62"/>
      <c r="R106" s="32"/>
      <c r="S106" s="32"/>
    </row>
    <row r="107" spans="2:25 16262:16262" hidden="1" outlineLevel="1" x14ac:dyDescent="0.25">
      <c r="B107" s="76"/>
      <c r="E107" s="61"/>
      <c r="F107" s="61"/>
      <c r="G107" s="61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</row>
    <row r="108" spans="2:25 16262:16262" ht="6" hidden="1" customHeight="1" outlineLevel="1" x14ac:dyDescent="0.25">
      <c r="B108" s="76"/>
      <c r="E108" s="48"/>
      <c r="F108" s="48"/>
    </row>
    <row r="109" spans="2:25 16262:16262" hidden="1" outlineLevel="1" x14ac:dyDescent="0.25">
      <c r="B109" s="76"/>
      <c r="E109" s="48"/>
      <c r="F109" s="48"/>
    </row>
    <row r="110" spans="2:25 16262:16262" hidden="1" outlineLevel="1" x14ac:dyDescent="0.25">
      <c r="B110" s="76"/>
      <c r="E110" s="48"/>
      <c r="F110" s="48"/>
    </row>
    <row r="111" spans="2:25 16262:16262" ht="9" hidden="1" customHeight="1" outlineLevel="1" x14ac:dyDescent="0.25">
      <c r="B111" s="76"/>
      <c r="E111" s="48"/>
      <c r="F111" s="48"/>
    </row>
    <row r="112" spans="2:25 16262:16262" hidden="1" outlineLevel="1" x14ac:dyDescent="0.25">
      <c r="B112" s="76"/>
      <c r="E112" s="48"/>
      <c r="F112" s="48"/>
      <c r="M112" s="32"/>
      <c r="N112" s="32"/>
      <c r="S112" s="32"/>
    </row>
    <row r="113" spans="1:25" ht="14.4" hidden="1" outlineLevel="1" x14ac:dyDescent="0.25">
      <c r="B113" s="77"/>
      <c r="E113" s="48"/>
      <c r="F113" s="48"/>
    </row>
    <row r="114" spans="1:25" ht="14.4" hidden="1" outlineLevel="1" x14ac:dyDescent="0.25">
      <c r="B114" s="77"/>
      <c r="E114" s="48"/>
      <c r="F114" s="48"/>
    </row>
    <row r="115" spans="1:25" collapsed="1" x14ac:dyDescent="0.25">
      <c r="E115" s="48"/>
      <c r="F115" s="48"/>
      <c r="M115" s="42"/>
      <c r="N115" s="42"/>
      <c r="S115" s="42"/>
    </row>
    <row r="116" spans="1:25" s="34" customFormat="1" hidden="1" x14ac:dyDescent="0.25">
      <c r="B116" s="34" t="s">
        <v>60</v>
      </c>
      <c r="E116" s="85">
        <v>34188</v>
      </c>
      <c r="F116" s="86">
        <v>6268</v>
      </c>
      <c r="G116" s="85">
        <f>E116+F116-1</f>
        <v>40455</v>
      </c>
      <c r="I116" s="106">
        <v>8949</v>
      </c>
      <c r="J116" s="106">
        <v>9146</v>
      </c>
      <c r="K116" s="106">
        <v>9368</v>
      </c>
      <c r="L116" s="106">
        <v>8899</v>
      </c>
      <c r="M116" s="106">
        <v>36363</v>
      </c>
      <c r="N116" s="106"/>
      <c r="O116" s="106">
        <v>7958</v>
      </c>
      <c r="P116" s="106">
        <v>8288</v>
      </c>
      <c r="Q116" s="106">
        <v>8469</v>
      </c>
      <c r="R116" s="106">
        <v>8341.5</v>
      </c>
      <c r="S116" s="106">
        <f>SUM(O116:R116)</f>
        <v>33056.5</v>
      </c>
      <c r="U116" s="138">
        <v>8036</v>
      </c>
      <c r="V116" s="138">
        <v>7843.67</v>
      </c>
      <c r="W116" s="138">
        <v>7854</v>
      </c>
      <c r="X116" s="138">
        <v>7595</v>
      </c>
      <c r="Y116" s="141">
        <f>SUM(U116:X116)</f>
        <v>31328.67</v>
      </c>
    </row>
    <row r="117" spans="1:25" s="34" customFormat="1" ht="12" customHeight="1" x14ac:dyDescent="0.25">
      <c r="D117" s="107"/>
      <c r="I117" s="106">
        <v>0</v>
      </c>
      <c r="J117" s="106">
        <v>0</v>
      </c>
      <c r="K117" s="106">
        <v>0</v>
      </c>
      <c r="L117" s="108">
        <v>0</v>
      </c>
      <c r="M117" s="106">
        <f>+I117+J117+K117+L117</f>
        <v>0</v>
      </c>
      <c r="N117" s="106"/>
      <c r="O117" s="106">
        <v>0</v>
      </c>
      <c r="P117" s="106">
        <v>0</v>
      </c>
      <c r="Q117" s="106">
        <v>0</v>
      </c>
      <c r="R117" s="108">
        <v>0</v>
      </c>
      <c r="S117" s="106">
        <f>+O117+P117+Q117+R117</f>
        <v>0</v>
      </c>
    </row>
    <row r="118" spans="1:25" x14ac:dyDescent="0.25">
      <c r="A118" s="34"/>
      <c r="B118" s="34"/>
      <c r="C118" s="34"/>
      <c r="D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</row>
    <row r="119" spans="1:25" x14ac:dyDescent="0.25">
      <c r="A119" s="34"/>
      <c r="B119" s="34"/>
      <c r="C119" s="34"/>
      <c r="D119" s="34"/>
      <c r="H119" s="34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</row>
    <row r="120" spans="1:25" x14ac:dyDescent="0.25">
      <c r="A120" s="34"/>
      <c r="B120" s="34"/>
      <c r="C120" s="34"/>
      <c r="D120" s="34"/>
      <c r="H120" s="34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</row>
    <row r="121" spans="1:25" x14ac:dyDescent="0.25">
      <c r="A121" s="34"/>
      <c r="B121" s="34"/>
      <c r="C121" s="34"/>
      <c r="D121" s="34"/>
      <c r="H121" s="34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</row>
    <row r="122" spans="1:25" x14ac:dyDescent="0.25">
      <c r="A122" s="34"/>
      <c r="B122" s="34"/>
      <c r="C122" s="34"/>
      <c r="D122" s="34"/>
      <c r="H122" s="34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</row>
    <row r="123" spans="1:25" x14ac:dyDescent="0.25">
      <c r="A123" s="34"/>
      <c r="B123" s="34"/>
      <c r="C123" s="34"/>
      <c r="D123" s="34"/>
      <c r="H123" s="34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</row>
    <row r="124" spans="1:25" x14ac:dyDescent="0.25">
      <c r="A124" s="34"/>
      <c r="B124" s="34"/>
      <c r="C124" s="34"/>
      <c r="D124" s="34"/>
      <c r="H124" s="34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</row>
    <row r="125" spans="1:25" x14ac:dyDescent="0.25">
      <c r="A125" s="34"/>
      <c r="B125" s="34"/>
      <c r="C125" s="34"/>
      <c r="D125" s="34"/>
      <c r="H125" s="34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</row>
    <row r="126" spans="1:25" x14ac:dyDescent="0.25">
      <c r="J126" s="32"/>
      <c r="M126" s="32"/>
      <c r="N126" s="32"/>
      <c r="O126" s="32"/>
      <c r="P126" s="32"/>
      <c r="Q126" s="32"/>
      <c r="R126" s="32"/>
      <c r="S126" s="32"/>
    </row>
    <row r="127" spans="1:25" x14ac:dyDescent="0.25">
      <c r="J127" s="32"/>
      <c r="M127" s="32"/>
      <c r="N127" s="32"/>
      <c r="O127" s="32"/>
      <c r="P127" s="32"/>
      <c r="Q127" s="32"/>
      <c r="R127" s="32"/>
      <c r="S127" s="32"/>
    </row>
    <row r="128" spans="1:25" x14ac:dyDescent="0.25">
      <c r="J128" s="32"/>
      <c r="M128" s="32"/>
      <c r="N128" s="32"/>
      <c r="O128" s="32"/>
      <c r="P128" s="32"/>
      <c r="Q128" s="32"/>
      <c r="R128" s="32"/>
      <c r="S128" s="32"/>
    </row>
    <row r="129" spans="10:19" x14ac:dyDescent="0.25">
      <c r="J129" s="32"/>
      <c r="M129" s="32"/>
      <c r="N129" s="32"/>
      <c r="O129" s="32"/>
      <c r="P129" s="32"/>
      <c r="Q129" s="32"/>
      <c r="R129" s="32"/>
      <c r="S129" s="32"/>
    </row>
    <row r="130" spans="10:19" x14ac:dyDescent="0.25">
      <c r="J130" s="32"/>
      <c r="M130" s="32"/>
      <c r="N130" s="32"/>
      <c r="O130" s="32"/>
      <c r="P130" s="32"/>
      <c r="Q130" s="32"/>
      <c r="R130" s="32"/>
      <c r="S130" s="32"/>
    </row>
    <row r="131" spans="10:19" x14ac:dyDescent="0.25">
      <c r="J131" s="32"/>
      <c r="M131" s="32"/>
      <c r="N131" s="32"/>
      <c r="O131" s="32"/>
      <c r="P131" s="32"/>
      <c r="Q131" s="32"/>
      <c r="R131" s="32"/>
      <c r="S131" s="32"/>
    </row>
    <row r="132" spans="10:19" x14ac:dyDescent="0.25">
      <c r="J132" s="32"/>
      <c r="M132" s="32"/>
      <c r="N132" s="32"/>
      <c r="O132" s="32"/>
      <c r="P132" s="32"/>
      <c r="Q132" s="32"/>
      <c r="R132" s="32"/>
      <c r="S132" s="32"/>
    </row>
  </sheetData>
  <pageMargins left="0.5" right="0.5" top="0.5" bottom="0.3" header="0" footer="0"/>
  <pageSetup scale="45" orientation="landscape" r:id="rId1"/>
  <ignoredErrors>
    <ignoredError sqref="G40 G29 M29 M40 S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Y32"/>
  <sheetViews>
    <sheetView showGridLines="0" workbookViewId="0">
      <selection activeCell="B3" sqref="B3"/>
    </sheetView>
  </sheetViews>
  <sheetFormatPr defaultRowHeight="13.2" x14ac:dyDescent="0.25"/>
  <cols>
    <col min="1" max="1" width="4" customWidth="1"/>
    <col min="2" max="2" width="4.21875" customWidth="1"/>
    <col min="3" max="3" width="25.44140625" customWidth="1"/>
    <col min="4" max="4" width="2" customWidth="1"/>
    <col min="5" max="5" width="11.77734375" style="34" customWidth="1"/>
    <col min="6" max="6" width="9.77734375" style="34" customWidth="1"/>
    <col min="7" max="7" width="10.33203125" style="34" customWidth="1"/>
    <col min="8" max="8" width="2.6640625" customWidth="1"/>
    <col min="14" max="14" width="2.6640625" customWidth="1"/>
    <col min="20" max="20" width="2.6640625" customWidth="1"/>
  </cols>
  <sheetData>
    <row r="1" spans="1:25" x14ac:dyDescent="0.25">
      <c r="A1" t="s">
        <v>20</v>
      </c>
    </row>
    <row r="2" spans="1:25" ht="17.399999999999999" x14ac:dyDescent="0.3">
      <c r="B2" s="22" t="s">
        <v>0</v>
      </c>
    </row>
    <row r="4" spans="1:25" x14ac:dyDescent="0.25">
      <c r="F4" s="90"/>
      <c r="H4" s="34"/>
    </row>
    <row r="5" spans="1:25" s="11" customFormat="1" ht="16.2" thickBot="1" x14ac:dyDescent="0.35">
      <c r="B5" s="24" t="s">
        <v>44</v>
      </c>
      <c r="C5" s="25"/>
      <c r="D5" s="88"/>
      <c r="E5" s="97" t="s">
        <v>50</v>
      </c>
      <c r="F5" s="104" t="s">
        <v>51</v>
      </c>
      <c r="G5" s="97" t="s">
        <v>52</v>
      </c>
      <c r="H5" s="48"/>
      <c r="I5" s="26"/>
      <c r="J5" s="26"/>
      <c r="K5" s="26"/>
      <c r="L5" s="26"/>
      <c r="M5" s="26"/>
      <c r="O5" s="26"/>
      <c r="P5" s="26"/>
      <c r="Q5" s="26"/>
      <c r="R5" s="26"/>
      <c r="S5" s="26"/>
      <c r="U5" s="26"/>
      <c r="V5" s="26"/>
      <c r="W5" s="26"/>
      <c r="X5" s="26"/>
      <c r="Y5" s="26"/>
    </row>
    <row r="6" spans="1:25" s="11" customFormat="1" ht="6" customHeight="1" thickTop="1" x14ac:dyDescent="0.25">
      <c r="A6" s="12"/>
      <c r="B6"/>
      <c r="C6" s="13"/>
      <c r="D6" s="14"/>
      <c r="E6" s="48"/>
      <c r="F6" s="90"/>
      <c r="G6" s="48"/>
      <c r="H6" s="48"/>
    </row>
    <row r="7" spans="1:25" s="11" customFormat="1" x14ac:dyDescent="0.25">
      <c r="A7" s="12"/>
      <c r="B7"/>
      <c r="C7" s="13"/>
      <c r="D7" s="27"/>
      <c r="E7" s="87" t="s">
        <v>47</v>
      </c>
      <c r="F7" s="105" t="s">
        <v>47</v>
      </c>
      <c r="G7" s="87" t="s">
        <v>47</v>
      </c>
      <c r="H7" s="48"/>
      <c r="I7" s="31" t="s">
        <v>53</v>
      </c>
      <c r="J7" s="31" t="s">
        <v>54</v>
      </c>
      <c r="K7" s="31" t="s">
        <v>55</v>
      </c>
      <c r="L7" s="31" t="s">
        <v>56</v>
      </c>
      <c r="M7" s="31" t="s">
        <v>1</v>
      </c>
      <c r="O7" s="31" t="s">
        <v>76</v>
      </c>
      <c r="P7" s="31" t="s">
        <v>77</v>
      </c>
      <c r="Q7" s="31" t="s">
        <v>78</v>
      </c>
      <c r="R7" s="31" t="s">
        <v>79</v>
      </c>
      <c r="S7" s="31" t="s">
        <v>1</v>
      </c>
      <c r="U7" s="31" t="s">
        <v>81</v>
      </c>
      <c r="V7" s="31" t="s">
        <v>82</v>
      </c>
      <c r="W7" s="31" t="s">
        <v>83</v>
      </c>
      <c r="X7" s="31" t="s">
        <v>84</v>
      </c>
      <c r="Y7" s="31" t="s">
        <v>1</v>
      </c>
    </row>
    <row r="8" spans="1:25" s="11" customFormat="1" x14ac:dyDescent="0.25">
      <c r="B8" s="35" t="s">
        <v>8</v>
      </c>
      <c r="C8" s="15"/>
      <c r="D8"/>
      <c r="E8" s="48"/>
      <c r="F8" s="90"/>
      <c r="G8" s="48"/>
      <c r="H8" s="48"/>
    </row>
    <row r="9" spans="1:25" s="11" customFormat="1" x14ac:dyDescent="0.25">
      <c r="B9" s="5" t="s">
        <v>11</v>
      </c>
      <c r="C9" s="15"/>
      <c r="D9" s="20"/>
      <c r="E9" s="66">
        <v>42</v>
      </c>
      <c r="F9" s="98">
        <v>38</v>
      </c>
      <c r="G9" s="66">
        <v>42</v>
      </c>
      <c r="H9" s="66"/>
      <c r="I9" s="16">
        <v>38</v>
      </c>
      <c r="J9" s="66">
        <v>39</v>
      </c>
      <c r="K9" s="66">
        <v>40</v>
      </c>
      <c r="L9" s="66">
        <v>40</v>
      </c>
      <c r="M9" s="66">
        <v>39</v>
      </c>
      <c r="O9" s="16">
        <v>38</v>
      </c>
      <c r="P9" s="66">
        <v>38</v>
      </c>
      <c r="Q9" s="66">
        <v>36</v>
      </c>
      <c r="R9" s="66">
        <v>36</v>
      </c>
      <c r="S9" s="66">
        <v>37</v>
      </c>
      <c r="U9" s="16">
        <v>35</v>
      </c>
      <c r="V9" s="66">
        <v>34</v>
      </c>
      <c r="W9" s="66">
        <v>33</v>
      </c>
      <c r="X9" s="66">
        <v>32</v>
      </c>
      <c r="Y9" s="66">
        <v>33</v>
      </c>
    </row>
    <row r="10" spans="1:25" s="11" customFormat="1" x14ac:dyDescent="0.25">
      <c r="B10" s="5" t="s">
        <v>12</v>
      </c>
      <c r="C10" s="15"/>
      <c r="D10" s="20"/>
      <c r="E10" s="66">
        <v>25</v>
      </c>
      <c r="F10" s="98">
        <v>23</v>
      </c>
      <c r="G10" s="66">
        <v>24</v>
      </c>
      <c r="H10" s="48"/>
      <c r="I10" s="16">
        <v>20</v>
      </c>
      <c r="J10" s="66">
        <v>19</v>
      </c>
      <c r="K10" s="66">
        <v>19</v>
      </c>
      <c r="L10" s="66">
        <v>18</v>
      </c>
      <c r="M10" s="66">
        <v>19</v>
      </c>
      <c r="O10" s="16">
        <v>18</v>
      </c>
      <c r="P10" s="66">
        <v>16</v>
      </c>
      <c r="Q10" s="66">
        <v>19</v>
      </c>
      <c r="R10" s="66">
        <v>19</v>
      </c>
      <c r="S10" s="66">
        <v>18</v>
      </c>
      <c r="U10" s="16">
        <v>20</v>
      </c>
      <c r="V10" s="66">
        <v>19</v>
      </c>
      <c r="W10" s="66">
        <v>18</v>
      </c>
      <c r="X10" s="66">
        <v>18</v>
      </c>
      <c r="Y10" s="66">
        <v>19</v>
      </c>
    </row>
    <row r="11" spans="1:25" s="11" customFormat="1" x14ac:dyDescent="0.25">
      <c r="B11" s="5" t="s">
        <v>13</v>
      </c>
      <c r="C11" s="15"/>
      <c r="D11" s="20"/>
      <c r="E11" s="66">
        <v>3</v>
      </c>
      <c r="F11" s="98">
        <v>2</v>
      </c>
      <c r="G11" s="66">
        <v>3</v>
      </c>
      <c r="H11" s="48"/>
      <c r="I11" s="16">
        <v>2</v>
      </c>
      <c r="J11" s="66">
        <v>3</v>
      </c>
      <c r="K11" s="66">
        <v>3</v>
      </c>
      <c r="L11" s="66">
        <v>1</v>
      </c>
      <c r="M11" s="66">
        <v>2</v>
      </c>
      <c r="O11" s="16">
        <v>0</v>
      </c>
      <c r="P11" s="66">
        <v>0</v>
      </c>
      <c r="Q11" s="66">
        <v>0</v>
      </c>
      <c r="R11" s="66">
        <v>0</v>
      </c>
      <c r="S11" s="66">
        <v>0</v>
      </c>
      <c r="U11" s="16">
        <v>0</v>
      </c>
      <c r="V11" s="66">
        <v>0</v>
      </c>
      <c r="W11" s="66">
        <v>0</v>
      </c>
      <c r="X11" s="66">
        <v>0</v>
      </c>
      <c r="Y11" s="66">
        <v>0</v>
      </c>
    </row>
    <row r="12" spans="1:25" s="11" customFormat="1" x14ac:dyDescent="0.25">
      <c r="B12" s="5" t="s">
        <v>15</v>
      </c>
      <c r="C12" s="15"/>
      <c r="D12" s="20"/>
      <c r="E12" s="70">
        <f t="shared" ref="E12:F12" si="0">SUM(E9:E11)</f>
        <v>70</v>
      </c>
      <c r="F12" s="99">
        <f t="shared" si="0"/>
        <v>63</v>
      </c>
      <c r="G12" s="70">
        <f>SUM(G9:G11)</f>
        <v>69</v>
      </c>
      <c r="H12" s="48"/>
      <c r="I12" s="17">
        <f>SUM(I9:I11)</f>
        <v>60</v>
      </c>
      <c r="J12" s="17">
        <f>SUM(J9:J11)</f>
        <v>61</v>
      </c>
      <c r="K12" s="70">
        <f>SUM(K9:K11)</f>
        <v>62</v>
      </c>
      <c r="L12" s="70">
        <f>SUM(L9:L11)</f>
        <v>59</v>
      </c>
      <c r="M12" s="70">
        <f>SUM(M9:M11)</f>
        <v>60</v>
      </c>
      <c r="O12" s="17">
        <f>SUM(O9:O11)</f>
        <v>56</v>
      </c>
      <c r="P12" s="17">
        <f>SUM(P9:P11)</f>
        <v>54</v>
      </c>
      <c r="Q12" s="70">
        <f>SUM(Q9:Q11)</f>
        <v>55</v>
      </c>
      <c r="R12" s="70">
        <f>SUM(R9:R11)</f>
        <v>55</v>
      </c>
      <c r="S12" s="70">
        <f>SUM(S9:S11)</f>
        <v>55</v>
      </c>
      <c r="U12" s="17">
        <f>SUM(U9:U11)</f>
        <v>55</v>
      </c>
      <c r="V12" s="17">
        <f>SUM(V9:V11)</f>
        <v>53</v>
      </c>
      <c r="W12" s="70">
        <f>SUM(W9:W11)</f>
        <v>51</v>
      </c>
      <c r="X12" s="70">
        <f>SUM(X9:X11)</f>
        <v>50</v>
      </c>
      <c r="Y12" s="70">
        <f>SUM(Y9:Y11)</f>
        <v>52</v>
      </c>
    </row>
    <row r="13" spans="1:25" s="11" customFormat="1" x14ac:dyDescent="0.25">
      <c r="B13" s="18"/>
      <c r="C13" s="7"/>
      <c r="D13" s="20"/>
      <c r="E13" s="71"/>
      <c r="F13" s="100"/>
      <c r="G13" s="71"/>
      <c r="H13" s="48"/>
      <c r="I13" s="30"/>
      <c r="J13" s="30"/>
      <c r="K13" s="71"/>
      <c r="L13" s="71"/>
      <c r="M13" s="71"/>
      <c r="O13" s="30"/>
      <c r="P13" s="30"/>
      <c r="Q13" s="71"/>
      <c r="R13" s="71"/>
      <c r="S13" s="71"/>
      <c r="U13" s="30"/>
      <c r="V13" s="30"/>
      <c r="W13" s="71"/>
      <c r="X13" s="71"/>
      <c r="Y13" s="71"/>
    </row>
    <row r="14" spans="1:25" s="11" customFormat="1" x14ac:dyDescent="0.25">
      <c r="B14" s="35" t="s">
        <v>9</v>
      </c>
      <c r="C14" s="15"/>
      <c r="D14" s="20"/>
      <c r="E14" s="71"/>
      <c r="F14" s="100"/>
      <c r="G14" s="71"/>
      <c r="H14" s="48"/>
      <c r="I14" s="30"/>
      <c r="J14" s="30"/>
      <c r="K14" s="71"/>
      <c r="L14" s="71"/>
      <c r="M14" s="71"/>
      <c r="O14" s="30"/>
      <c r="P14" s="30"/>
      <c r="Q14" s="71"/>
      <c r="R14" s="71"/>
      <c r="S14" s="71"/>
      <c r="U14" s="30"/>
      <c r="V14" s="30"/>
      <c r="W14" s="71"/>
      <c r="X14" s="71"/>
      <c r="Y14" s="71"/>
    </row>
    <row r="15" spans="1:25" s="11" customFormat="1" x14ac:dyDescent="0.25">
      <c r="B15" s="5" t="s">
        <v>11</v>
      </c>
      <c r="C15" s="15"/>
      <c r="D15" s="20"/>
      <c r="E15" s="66">
        <v>13</v>
      </c>
      <c r="F15" s="98">
        <v>12</v>
      </c>
      <c r="G15" s="66">
        <v>13</v>
      </c>
      <c r="H15" s="48"/>
      <c r="I15" s="16">
        <v>12</v>
      </c>
      <c r="J15" s="16">
        <v>13</v>
      </c>
      <c r="K15" s="66">
        <v>13</v>
      </c>
      <c r="L15" s="66">
        <v>12</v>
      </c>
      <c r="M15" s="66">
        <v>13</v>
      </c>
      <c r="O15" s="16">
        <v>9</v>
      </c>
      <c r="P15" s="16">
        <v>12</v>
      </c>
      <c r="Q15" s="66">
        <v>12</v>
      </c>
      <c r="R15" s="66">
        <v>11</v>
      </c>
      <c r="S15" s="66">
        <v>11</v>
      </c>
      <c r="U15" s="16">
        <v>11</v>
      </c>
      <c r="V15" s="16">
        <v>11</v>
      </c>
      <c r="W15" s="66">
        <v>11</v>
      </c>
      <c r="X15" s="66">
        <v>11</v>
      </c>
      <c r="Y15" s="66">
        <v>11</v>
      </c>
    </row>
    <row r="16" spans="1:25" s="11" customFormat="1" x14ac:dyDescent="0.25">
      <c r="B16" s="5" t="s">
        <v>13</v>
      </c>
      <c r="C16" s="15"/>
      <c r="D16" s="20"/>
      <c r="E16" s="66"/>
      <c r="F16" s="98"/>
      <c r="G16" s="66">
        <v>0</v>
      </c>
      <c r="H16" s="48"/>
      <c r="I16" s="16">
        <v>0</v>
      </c>
      <c r="J16" s="16">
        <v>0</v>
      </c>
      <c r="K16" s="66">
        <v>0</v>
      </c>
      <c r="L16" s="66">
        <v>0</v>
      </c>
      <c r="M16" s="66">
        <v>0</v>
      </c>
      <c r="O16" s="16">
        <v>0</v>
      </c>
      <c r="P16" s="16">
        <v>0</v>
      </c>
      <c r="Q16" s="66">
        <v>0</v>
      </c>
      <c r="R16" s="66">
        <v>0</v>
      </c>
      <c r="S16" s="66">
        <v>0</v>
      </c>
      <c r="U16" s="16">
        <v>0</v>
      </c>
      <c r="V16" s="16">
        <v>0</v>
      </c>
      <c r="W16" s="66">
        <v>0</v>
      </c>
      <c r="X16" s="66">
        <v>0</v>
      </c>
      <c r="Y16" s="66">
        <v>0</v>
      </c>
    </row>
    <row r="17" spans="2:25" s="11" customFormat="1" x14ac:dyDescent="0.25">
      <c r="B17" s="5" t="s">
        <v>15</v>
      </c>
      <c r="C17" s="15"/>
      <c r="D17" s="20"/>
      <c r="E17" s="72">
        <f t="shared" ref="E17:F17" si="1">SUM(E15:E16)</f>
        <v>13</v>
      </c>
      <c r="F17" s="101">
        <f t="shared" si="1"/>
        <v>12</v>
      </c>
      <c r="G17" s="72">
        <f>SUM(G15:G16)</f>
        <v>13</v>
      </c>
      <c r="H17" s="48"/>
      <c r="I17" s="19">
        <f>SUM(I15:I16)</f>
        <v>12</v>
      </c>
      <c r="J17" s="19">
        <f>SUM(J15:J16)</f>
        <v>13</v>
      </c>
      <c r="K17" s="72">
        <f>SUM(K15:K16)</f>
        <v>13</v>
      </c>
      <c r="L17" s="72">
        <f>SUM(L15:L16)</f>
        <v>12</v>
      </c>
      <c r="M17" s="72">
        <f>SUM(M15:M16)</f>
        <v>13</v>
      </c>
      <c r="O17" s="19">
        <f>SUM(O15:O16)</f>
        <v>9</v>
      </c>
      <c r="P17" s="19">
        <f>SUM(P15:P16)</f>
        <v>12</v>
      </c>
      <c r="Q17" s="72">
        <f>SUM(Q15:Q16)</f>
        <v>12</v>
      </c>
      <c r="R17" s="72">
        <f>SUM(R15:R16)</f>
        <v>11</v>
      </c>
      <c r="S17" s="72">
        <f>SUM(S15:S16)</f>
        <v>11</v>
      </c>
      <c r="U17" s="19">
        <f>SUM(U15:U16)</f>
        <v>11</v>
      </c>
      <c r="V17" s="19">
        <f>SUM(V15:V16)</f>
        <v>11</v>
      </c>
      <c r="W17" s="72">
        <f>SUM(W15:W16)</f>
        <v>11</v>
      </c>
      <c r="X17" s="72">
        <f>SUM(X15:X16)</f>
        <v>11</v>
      </c>
      <c r="Y17" s="72">
        <f>SUM(Y15:Y16)</f>
        <v>11</v>
      </c>
    </row>
    <row r="18" spans="2:25" s="11" customFormat="1" x14ac:dyDescent="0.25">
      <c r="B18" s="18"/>
      <c r="C18" s="7"/>
      <c r="D18" s="20"/>
      <c r="E18" s="71"/>
      <c r="F18" s="100"/>
      <c r="G18" s="71"/>
      <c r="H18" s="48"/>
      <c r="I18" s="30"/>
      <c r="J18" s="30"/>
      <c r="K18" s="71"/>
      <c r="L18" s="71"/>
      <c r="M18" s="71"/>
      <c r="O18" s="30"/>
      <c r="P18" s="30"/>
      <c r="Q18" s="71"/>
      <c r="R18" s="71"/>
      <c r="S18" s="71"/>
      <c r="U18" s="30"/>
      <c r="V18" s="30"/>
      <c r="W18" s="71"/>
      <c r="X18" s="71"/>
      <c r="Y18" s="71"/>
    </row>
    <row r="19" spans="2:25" s="11" customFormat="1" x14ac:dyDescent="0.25">
      <c r="B19" s="36" t="s">
        <v>10</v>
      </c>
      <c r="C19"/>
      <c r="D19" s="20"/>
      <c r="E19" s="71"/>
      <c r="F19" s="100"/>
      <c r="G19" s="71"/>
      <c r="H19" s="48"/>
      <c r="I19" s="30"/>
      <c r="J19" s="30"/>
      <c r="K19" s="71"/>
      <c r="L19" s="71"/>
      <c r="M19" s="71"/>
      <c r="O19" s="30"/>
      <c r="P19" s="30"/>
      <c r="Q19" s="71"/>
      <c r="R19" s="71"/>
      <c r="S19" s="71"/>
      <c r="U19" s="30"/>
      <c r="V19" s="30"/>
      <c r="W19" s="71"/>
      <c r="X19" s="71"/>
      <c r="Y19" s="71"/>
    </row>
    <row r="20" spans="2:25" s="11" customFormat="1" x14ac:dyDescent="0.25">
      <c r="B20" s="5" t="s">
        <v>11</v>
      </c>
      <c r="C20" s="20"/>
      <c r="D20" s="20"/>
      <c r="E20" s="66">
        <v>147</v>
      </c>
      <c r="F20" s="98">
        <v>138</v>
      </c>
      <c r="G20" s="66">
        <v>145</v>
      </c>
      <c r="H20" s="48"/>
      <c r="I20" s="16">
        <v>135</v>
      </c>
      <c r="J20" s="16">
        <v>135</v>
      </c>
      <c r="K20" s="66">
        <v>135</v>
      </c>
      <c r="L20" s="66">
        <v>131</v>
      </c>
      <c r="M20" s="66">
        <v>135</v>
      </c>
      <c r="O20" s="16">
        <v>121</v>
      </c>
      <c r="P20" s="16">
        <v>132</v>
      </c>
      <c r="Q20" s="66">
        <v>131</v>
      </c>
      <c r="R20" s="66">
        <v>129</v>
      </c>
      <c r="S20" s="66">
        <v>129</v>
      </c>
      <c r="U20" s="16">
        <v>119</v>
      </c>
      <c r="V20" s="16">
        <v>119</v>
      </c>
      <c r="W20" s="66">
        <v>122</v>
      </c>
      <c r="X20" s="66">
        <v>114</v>
      </c>
      <c r="Y20" s="66">
        <v>119</v>
      </c>
    </row>
    <row r="21" spans="2:25" s="11" customFormat="1" x14ac:dyDescent="0.25">
      <c r="B21" s="5" t="s">
        <v>12</v>
      </c>
      <c r="C21"/>
      <c r="D21" s="20"/>
      <c r="E21" s="66">
        <v>2</v>
      </c>
      <c r="F21" s="98">
        <v>1</v>
      </c>
      <c r="G21" s="66">
        <v>2</v>
      </c>
      <c r="H21" s="48"/>
      <c r="I21" s="16">
        <v>1</v>
      </c>
      <c r="J21" s="16">
        <v>1</v>
      </c>
      <c r="K21" s="66">
        <v>1</v>
      </c>
      <c r="L21" s="66">
        <v>1</v>
      </c>
      <c r="M21" s="66">
        <v>1</v>
      </c>
      <c r="O21" s="16">
        <v>1</v>
      </c>
      <c r="P21" s="16">
        <v>1</v>
      </c>
      <c r="Q21" s="66">
        <v>1</v>
      </c>
      <c r="R21" s="66">
        <v>1</v>
      </c>
      <c r="S21" s="66">
        <v>1</v>
      </c>
      <c r="U21" s="16">
        <v>1</v>
      </c>
      <c r="V21" s="16">
        <v>1</v>
      </c>
      <c r="W21" s="66">
        <v>1</v>
      </c>
      <c r="X21" s="66">
        <v>1</v>
      </c>
      <c r="Y21" s="66">
        <v>1</v>
      </c>
    </row>
    <row r="22" spans="2:25" s="11" customFormat="1" x14ac:dyDescent="0.25">
      <c r="B22" s="5" t="s">
        <v>13</v>
      </c>
      <c r="C22"/>
      <c r="D22" s="20"/>
      <c r="E22" s="66">
        <v>4</v>
      </c>
      <c r="F22" s="98">
        <v>3</v>
      </c>
      <c r="G22" s="66">
        <v>4</v>
      </c>
      <c r="H22" s="48"/>
      <c r="I22" s="16">
        <v>4</v>
      </c>
      <c r="J22" s="16">
        <v>5</v>
      </c>
      <c r="K22" s="66">
        <v>5</v>
      </c>
      <c r="L22" s="66">
        <v>2</v>
      </c>
      <c r="M22" s="66">
        <v>4</v>
      </c>
      <c r="O22" s="16">
        <v>0</v>
      </c>
      <c r="P22" s="16">
        <v>0</v>
      </c>
      <c r="Q22" s="66">
        <v>0</v>
      </c>
      <c r="R22" s="66">
        <v>0</v>
      </c>
      <c r="S22" s="66">
        <v>0</v>
      </c>
      <c r="U22" s="16">
        <v>0</v>
      </c>
      <c r="V22" s="16">
        <v>0</v>
      </c>
      <c r="W22" s="66">
        <v>0</v>
      </c>
      <c r="X22" s="66">
        <v>0</v>
      </c>
      <c r="Y22" s="66">
        <v>0</v>
      </c>
    </row>
    <row r="23" spans="2:25" s="11" customFormat="1" x14ac:dyDescent="0.25">
      <c r="B23" s="5" t="s">
        <v>14</v>
      </c>
      <c r="C23"/>
      <c r="D23" s="20"/>
      <c r="E23" s="66">
        <v>21</v>
      </c>
      <c r="F23" s="98">
        <v>23</v>
      </c>
      <c r="G23" s="66">
        <v>21</v>
      </c>
      <c r="H23" s="48"/>
      <c r="I23" s="16">
        <v>20</v>
      </c>
      <c r="J23" s="16">
        <v>20</v>
      </c>
      <c r="K23" s="66">
        <v>19</v>
      </c>
      <c r="L23" s="66">
        <v>19</v>
      </c>
      <c r="M23" s="66">
        <v>19</v>
      </c>
      <c r="O23" s="16">
        <v>19</v>
      </c>
      <c r="P23" s="16">
        <v>18</v>
      </c>
      <c r="Q23" s="66">
        <v>17</v>
      </c>
      <c r="R23" s="66">
        <v>17</v>
      </c>
      <c r="S23" s="66">
        <v>17</v>
      </c>
      <c r="U23" s="16">
        <v>16</v>
      </c>
      <c r="V23" s="16">
        <v>15</v>
      </c>
      <c r="W23" s="66">
        <v>15</v>
      </c>
      <c r="X23" s="66">
        <v>15</v>
      </c>
      <c r="Y23" s="66">
        <v>15</v>
      </c>
    </row>
    <row r="24" spans="2:25" s="11" customFormat="1" x14ac:dyDescent="0.25">
      <c r="B24" s="5" t="s">
        <v>15</v>
      </c>
      <c r="C24"/>
      <c r="D24" s="20"/>
      <c r="E24" s="72">
        <f t="shared" ref="E24:F24" si="2">SUM(E20:E23)</f>
        <v>174</v>
      </c>
      <c r="F24" s="101">
        <f t="shared" si="2"/>
        <v>165</v>
      </c>
      <c r="G24" s="72">
        <f>SUM(G20:G23)</f>
        <v>172</v>
      </c>
      <c r="H24" s="75"/>
      <c r="I24" s="19">
        <f>SUM(I20:I23)</f>
        <v>160</v>
      </c>
      <c r="J24" s="19">
        <f>SUM(J20:J23)</f>
        <v>161</v>
      </c>
      <c r="K24" s="72">
        <f>SUM(K20:K23)</f>
        <v>160</v>
      </c>
      <c r="L24" s="72">
        <f>SUM(L20:L23)</f>
        <v>153</v>
      </c>
      <c r="M24" s="72">
        <f>SUM(M20:M23)</f>
        <v>159</v>
      </c>
      <c r="O24" s="19">
        <f>SUM(O20:O23)</f>
        <v>141</v>
      </c>
      <c r="P24" s="19">
        <f>SUM(P20:P23)</f>
        <v>151</v>
      </c>
      <c r="Q24" s="72">
        <f>SUM(Q20:Q23)</f>
        <v>149</v>
      </c>
      <c r="R24" s="72">
        <f>SUM(R20:R23)</f>
        <v>147</v>
      </c>
      <c r="S24" s="72">
        <f>SUM(S20:S23)</f>
        <v>147</v>
      </c>
      <c r="U24" s="19">
        <f>SUM(U20:U23)</f>
        <v>136</v>
      </c>
      <c r="V24" s="19">
        <f>SUM(V20:V23)</f>
        <v>135</v>
      </c>
      <c r="W24" s="72">
        <f>SUM(W20:W23)</f>
        <v>138</v>
      </c>
      <c r="X24" s="72">
        <f>SUM(X20:X23)</f>
        <v>130</v>
      </c>
      <c r="Y24" s="72">
        <f>SUM(Y20:Y23)</f>
        <v>135</v>
      </c>
    </row>
    <row r="25" spans="2:25" s="11" customFormat="1" x14ac:dyDescent="0.25">
      <c r="B25"/>
      <c r="C25"/>
      <c r="D25" s="20"/>
      <c r="E25" s="71"/>
      <c r="F25" s="100"/>
      <c r="G25" s="71"/>
      <c r="H25" s="48"/>
      <c r="I25" s="30"/>
      <c r="J25" s="30"/>
      <c r="K25" s="71"/>
      <c r="L25" s="71"/>
      <c r="M25" s="71"/>
      <c r="O25" s="30"/>
      <c r="P25" s="30"/>
      <c r="Q25" s="71"/>
      <c r="R25" s="71"/>
      <c r="S25" s="71"/>
      <c r="U25" s="30"/>
      <c r="V25" s="30"/>
      <c r="W25" s="71"/>
      <c r="X25" s="71"/>
      <c r="Y25" s="71"/>
    </row>
    <row r="26" spans="2:25" s="11" customFormat="1" ht="16.2" thickBot="1" x14ac:dyDescent="0.3">
      <c r="B26" s="21" t="s">
        <v>30</v>
      </c>
      <c r="C26"/>
      <c r="D26" s="20"/>
      <c r="E26" s="73">
        <f t="shared" ref="E26:F26" si="3">E12+E17+(E24/6)</f>
        <v>112</v>
      </c>
      <c r="F26" s="102">
        <f t="shared" si="3"/>
        <v>102.5</v>
      </c>
      <c r="G26" s="73">
        <f>G12+G17+(G24/6)</f>
        <v>110.66666666666667</v>
      </c>
      <c r="H26" s="71"/>
      <c r="I26" s="56">
        <f>I12+I17+(I24/6)</f>
        <v>98.666666666666671</v>
      </c>
      <c r="J26" s="56">
        <f>J12+J17+(J24/6)</f>
        <v>100.83333333333333</v>
      </c>
      <c r="K26" s="73">
        <f>K12+K17+(K24/6)</f>
        <v>101.66666666666667</v>
      </c>
      <c r="L26" s="73">
        <f>L12+L17+(L24/6)</f>
        <v>96.5</v>
      </c>
      <c r="M26" s="73">
        <f>M12+M17+(M24/6)</f>
        <v>99.5</v>
      </c>
      <c r="O26" s="56">
        <f>O12+O17+(O24/6)-1</f>
        <v>87.5</v>
      </c>
      <c r="P26" s="56">
        <v>91</v>
      </c>
      <c r="Q26" s="73">
        <f>Q12+Q17+(Q24/6)</f>
        <v>91.833333333333329</v>
      </c>
      <c r="R26" s="73">
        <f>R12+R17+(R24/6)</f>
        <v>90.5</v>
      </c>
      <c r="S26" s="73">
        <f>S12+S17+(S24/6)</f>
        <v>90.5</v>
      </c>
      <c r="U26" s="56">
        <f>U12+U17+(U24/6)</f>
        <v>88.666666666666671</v>
      </c>
      <c r="V26" s="56">
        <f>V12+V17+(V24/6)-1</f>
        <v>85.5</v>
      </c>
      <c r="W26" s="73">
        <f>W12+W17+(W24/6)</f>
        <v>85</v>
      </c>
      <c r="X26" s="73">
        <f>X12+X17+(X24/6)</f>
        <v>82.666666666666671</v>
      </c>
      <c r="Y26" s="73">
        <f>Y12+Y17+(Y24/6)</f>
        <v>85.5</v>
      </c>
    </row>
    <row r="27" spans="2:25" s="11" customFormat="1" ht="13.8" thickTop="1" x14ac:dyDescent="0.25">
      <c r="B27" s="21"/>
      <c r="C27"/>
      <c r="D27" s="20"/>
      <c r="E27" s="75"/>
      <c r="F27" s="103"/>
      <c r="G27" s="66"/>
      <c r="H27" s="48"/>
    </row>
    <row r="28" spans="2:25" x14ac:dyDescent="0.25">
      <c r="H28" s="34"/>
    </row>
    <row r="29" spans="2:25" x14ac:dyDescent="0.25">
      <c r="B29" s="74" t="s">
        <v>33</v>
      </c>
      <c r="H29" s="34"/>
    </row>
    <row r="30" spans="2:25" ht="4.2" customHeight="1" x14ac:dyDescent="0.25">
      <c r="B30" s="74"/>
      <c r="H30" s="34"/>
    </row>
    <row r="31" spans="2:25" x14ac:dyDescent="0.25">
      <c r="B31" s="74" t="s">
        <v>31</v>
      </c>
      <c r="H31" s="34"/>
    </row>
    <row r="32" spans="2:25" x14ac:dyDescent="0.25">
      <c r="B32" s="74" t="s">
        <v>32</v>
      </c>
      <c r="H32" s="34"/>
    </row>
  </sheetData>
  <pageMargins left="0.5" right="0.5" top="0.5" bottom="0.5" header="0" footer="0"/>
  <pageSetup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P35"/>
  <sheetViews>
    <sheetView showGridLines="0" workbookViewId="0">
      <selection activeCell="B9" sqref="B9"/>
    </sheetView>
  </sheetViews>
  <sheetFormatPr defaultRowHeight="13.2" x14ac:dyDescent="0.25"/>
  <cols>
    <col min="1" max="1" width="4" customWidth="1"/>
    <col min="2" max="2" width="13.77734375" customWidth="1"/>
    <col min="3" max="3" width="37.77734375" customWidth="1"/>
    <col min="4" max="4" width="12.44140625" bestFit="1" customWidth="1"/>
    <col min="5" max="5" width="2.21875" customWidth="1"/>
    <col min="6" max="6" width="12" bestFit="1" customWidth="1"/>
    <col min="7" max="7" width="2.44140625" customWidth="1"/>
    <col min="8" max="8" width="11.44140625" customWidth="1"/>
    <col min="9" max="9" width="2.44140625" customWidth="1"/>
    <col min="10" max="10" width="11.44140625" customWidth="1"/>
    <col min="11" max="11" width="1.5546875" customWidth="1"/>
    <col min="12" max="12" width="9.21875" customWidth="1"/>
  </cols>
  <sheetData>
    <row r="2" spans="2:16" ht="17.399999999999999" x14ac:dyDescent="0.3">
      <c r="B2" s="22" t="s">
        <v>0</v>
      </c>
    </row>
    <row r="3" spans="2:16" ht="14.25" customHeight="1" x14ac:dyDescent="0.3">
      <c r="B3" s="22"/>
      <c r="N3" s="142"/>
      <c r="O3" s="143"/>
      <c r="P3" s="143"/>
    </row>
    <row r="5" spans="2:16" ht="16.2" thickBot="1" x14ac:dyDescent="0.35">
      <c r="B5" s="24" t="s">
        <v>2</v>
      </c>
      <c r="C5" s="25"/>
      <c r="D5" s="25"/>
      <c r="E5" s="25"/>
      <c r="F5" s="25"/>
      <c r="G5" s="25"/>
      <c r="H5" s="25"/>
      <c r="I5" s="26"/>
      <c r="J5" s="26"/>
      <c r="K5" s="26"/>
      <c r="L5" s="26"/>
    </row>
    <row r="6" spans="2:16" ht="5.25" customHeight="1" thickTop="1" x14ac:dyDescent="0.25"/>
    <row r="7" spans="2:16" s="28" customFormat="1" x14ac:dyDescent="0.25">
      <c r="D7" s="38" t="s">
        <v>3</v>
      </c>
      <c r="E7" s="38"/>
      <c r="F7" s="38" t="s">
        <v>5</v>
      </c>
      <c r="G7" s="38"/>
      <c r="H7" s="38" t="s">
        <v>6</v>
      </c>
      <c r="I7" s="38"/>
      <c r="J7" s="38" t="s">
        <v>7</v>
      </c>
      <c r="K7" s="38"/>
      <c r="L7" s="38"/>
    </row>
    <row r="8" spans="2:16" s="28" customFormat="1" x14ac:dyDescent="0.25">
      <c r="D8" s="31" t="s">
        <v>4</v>
      </c>
      <c r="E8" s="38"/>
      <c r="F8" s="31" t="s">
        <v>4</v>
      </c>
      <c r="G8" s="38"/>
      <c r="H8" s="31" t="s">
        <v>4</v>
      </c>
      <c r="I8" s="38"/>
      <c r="J8" s="31" t="s">
        <v>4</v>
      </c>
      <c r="K8" s="38"/>
      <c r="L8" s="31" t="s">
        <v>1</v>
      </c>
    </row>
    <row r="9" spans="2:16" s="28" customFormat="1" x14ac:dyDescent="0.25"/>
    <row r="10" spans="2:16" s="28" customFormat="1" x14ac:dyDescent="0.25">
      <c r="B10" s="82" t="s">
        <v>92</v>
      </c>
      <c r="C10" s="54"/>
    </row>
    <row r="11" spans="2:16" s="28" customFormat="1" x14ac:dyDescent="0.25">
      <c r="B11" s="10" t="s">
        <v>36</v>
      </c>
    </row>
    <row r="12" spans="2:16" s="28" customFormat="1" x14ac:dyDescent="0.25">
      <c r="B12" t="s">
        <v>17</v>
      </c>
      <c r="D12" s="39">
        <v>136</v>
      </c>
      <c r="E12" s="39"/>
      <c r="F12" s="39">
        <v>87</v>
      </c>
      <c r="G12" s="39"/>
      <c r="H12" s="39">
        <v>0</v>
      </c>
      <c r="I12" s="39"/>
      <c r="J12" s="16">
        <v>0</v>
      </c>
      <c r="K12" s="39"/>
      <c r="L12" s="39">
        <f>SUM(D12:K12)</f>
        <v>223</v>
      </c>
    </row>
    <row r="13" spans="2:16" s="28" customFormat="1" x14ac:dyDescent="0.25">
      <c r="B13" s="11" t="s">
        <v>18</v>
      </c>
      <c r="D13" s="39">
        <v>29</v>
      </c>
      <c r="E13" s="39"/>
      <c r="F13" s="39">
        <v>4</v>
      </c>
      <c r="G13" s="39"/>
      <c r="H13" s="39">
        <v>0</v>
      </c>
      <c r="I13" s="39"/>
      <c r="J13" s="16">
        <v>0</v>
      </c>
      <c r="K13" s="39"/>
      <c r="L13" s="39">
        <f>SUM(D13:K13)</f>
        <v>33</v>
      </c>
    </row>
    <row r="14" spans="2:16" s="28" customFormat="1" x14ac:dyDescent="0.25">
      <c r="B14" s="49" t="s">
        <v>16</v>
      </c>
      <c r="D14" s="50">
        <f>+D13+D12</f>
        <v>165</v>
      </c>
      <c r="E14" s="39"/>
      <c r="F14" s="50">
        <f>+F13+F12</f>
        <v>91</v>
      </c>
      <c r="G14" s="39"/>
      <c r="H14" s="50">
        <f>+H13+H12</f>
        <v>0</v>
      </c>
      <c r="I14" s="39"/>
      <c r="J14" s="50">
        <f>+J13+J12</f>
        <v>0</v>
      </c>
      <c r="K14" s="39"/>
      <c r="L14" s="50">
        <f>+L13+L12</f>
        <v>256</v>
      </c>
    </row>
    <row r="15" spans="2:16" s="28" customFormat="1" x14ac:dyDescent="0.25">
      <c r="D15" s="40"/>
      <c r="E15" s="40"/>
      <c r="F15" s="40"/>
      <c r="G15" s="40"/>
      <c r="H15" s="40"/>
      <c r="I15" s="40"/>
      <c r="J15" s="40"/>
      <c r="K15" s="40"/>
      <c r="L15"/>
    </row>
    <row r="16" spans="2:16" s="28" customFormat="1" x14ac:dyDescent="0.25">
      <c r="B16" s="10" t="s">
        <v>37</v>
      </c>
      <c r="D16" s="40"/>
      <c r="E16" s="40"/>
      <c r="F16" s="40"/>
      <c r="G16" s="40"/>
      <c r="H16" s="40"/>
      <c r="I16" s="40"/>
      <c r="J16" s="40"/>
      <c r="K16" s="40"/>
      <c r="L16" s="40"/>
    </row>
    <row r="17" spans="2:13" s="28" customFormat="1" x14ac:dyDescent="0.25">
      <c r="B17" t="s">
        <v>17</v>
      </c>
      <c r="D17" s="39">
        <v>34</v>
      </c>
      <c r="E17" s="39"/>
      <c r="F17" s="39">
        <v>0</v>
      </c>
      <c r="G17" s="39"/>
      <c r="H17" s="39">
        <v>0</v>
      </c>
      <c r="I17" s="39"/>
      <c r="J17" s="16">
        <v>0</v>
      </c>
      <c r="K17" s="39"/>
      <c r="L17" s="39">
        <f>SUM(D17:K17)</f>
        <v>34</v>
      </c>
    </row>
    <row r="18" spans="2:13" s="28" customFormat="1" x14ac:dyDescent="0.25">
      <c r="B18" s="11" t="s">
        <v>18</v>
      </c>
      <c r="D18" s="39">
        <v>1</v>
      </c>
      <c r="E18" s="39"/>
      <c r="F18" s="39">
        <v>0</v>
      </c>
      <c r="G18" s="39"/>
      <c r="H18" s="39">
        <v>0</v>
      </c>
      <c r="I18" s="39"/>
      <c r="J18" s="16">
        <v>0</v>
      </c>
      <c r="K18" s="39"/>
      <c r="L18" s="39">
        <f>SUM(D18:K18)</f>
        <v>1</v>
      </c>
    </row>
    <row r="19" spans="2:13" s="28" customFormat="1" x14ac:dyDescent="0.25">
      <c r="B19" s="49" t="s">
        <v>16</v>
      </c>
      <c r="D19" s="50">
        <f>+D18+D17</f>
        <v>35</v>
      </c>
      <c r="E19" s="39"/>
      <c r="F19" s="50">
        <f>+F18+F17</f>
        <v>0</v>
      </c>
      <c r="G19" s="39"/>
      <c r="H19" s="50">
        <f>+H18+H17</f>
        <v>0</v>
      </c>
      <c r="I19" s="39"/>
      <c r="J19" s="50">
        <f>+J18+J17</f>
        <v>0</v>
      </c>
      <c r="K19" s="39"/>
      <c r="L19" s="50">
        <f>+L18+L17</f>
        <v>35</v>
      </c>
    </row>
    <row r="20" spans="2:13" s="28" customFormat="1" x14ac:dyDescent="0.25">
      <c r="D20" s="39"/>
      <c r="E20" s="39"/>
      <c r="F20" s="39"/>
      <c r="G20" s="39"/>
      <c r="H20" s="39"/>
      <c r="I20" s="39"/>
      <c r="J20" s="16"/>
      <c r="K20" s="39"/>
      <c r="L20"/>
    </row>
    <row r="21" spans="2:13" s="28" customFormat="1" x14ac:dyDescent="0.25">
      <c r="B21" s="10" t="s">
        <v>38</v>
      </c>
      <c r="D21" s="39"/>
      <c r="E21" s="39"/>
      <c r="F21" s="39"/>
      <c r="G21" s="39"/>
      <c r="H21" s="39"/>
      <c r="I21" s="39"/>
      <c r="J21" s="16"/>
      <c r="K21" s="39"/>
      <c r="L21" s="39"/>
    </row>
    <row r="22" spans="2:13" s="28" customFormat="1" x14ac:dyDescent="0.25">
      <c r="B22" t="s">
        <v>17</v>
      </c>
      <c r="D22" s="39">
        <v>389</v>
      </c>
      <c r="E22" s="39"/>
      <c r="F22" s="39">
        <v>5</v>
      </c>
      <c r="G22" s="39"/>
      <c r="H22" s="39">
        <v>0</v>
      </c>
      <c r="I22" s="39"/>
      <c r="J22" s="16">
        <v>51</v>
      </c>
      <c r="K22" s="39"/>
      <c r="L22" s="39">
        <f>SUM(D22:K22)</f>
        <v>445</v>
      </c>
    </row>
    <row r="23" spans="2:13" s="28" customFormat="1" x14ac:dyDescent="0.25">
      <c r="B23" s="11" t="s">
        <v>18</v>
      </c>
      <c r="D23" s="39">
        <v>67</v>
      </c>
      <c r="E23" s="39"/>
      <c r="F23" s="39">
        <v>0</v>
      </c>
      <c r="G23" s="39"/>
      <c r="H23" s="39">
        <v>0</v>
      </c>
      <c r="I23" s="39"/>
      <c r="J23" s="16">
        <v>6</v>
      </c>
      <c r="K23" s="39"/>
      <c r="L23" s="39">
        <f>SUM(D23:K23)</f>
        <v>73</v>
      </c>
    </row>
    <row r="24" spans="2:13" s="28" customFormat="1" x14ac:dyDescent="0.25">
      <c r="B24" s="49" t="s">
        <v>16</v>
      </c>
      <c r="D24" s="50">
        <f>+D23+D22</f>
        <v>456</v>
      </c>
      <c r="E24" s="39"/>
      <c r="F24" s="50">
        <f>+F23+F22</f>
        <v>5</v>
      </c>
      <c r="G24" s="39"/>
      <c r="H24" s="50">
        <f>+H23+H22</f>
        <v>0</v>
      </c>
      <c r="I24" s="39"/>
      <c r="J24" s="50">
        <f>+J23+J22</f>
        <v>57</v>
      </c>
      <c r="K24" s="39"/>
      <c r="L24" s="50">
        <f>+L23+L22</f>
        <v>518</v>
      </c>
    </row>
    <row r="25" spans="2:13" s="28" customFormat="1" x14ac:dyDescent="0.25">
      <c r="B25" s="33"/>
      <c r="C25" s="33"/>
      <c r="D25" s="39"/>
      <c r="E25" s="39"/>
      <c r="F25" s="39"/>
      <c r="G25" s="39"/>
      <c r="H25" s="39"/>
      <c r="I25" s="39"/>
      <c r="J25" s="16"/>
      <c r="K25" s="39"/>
      <c r="L25"/>
    </row>
    <row r="26" spans="2:13" s="28" customFormat="1" ht="15.6" x14ac:dyDescent="0.25">
      <c r="B26" s="10" t="s">
        <v>39</v>
      </c>
      <c r="C26" s="33"/>
      <c r="D26" s="39"/>
      <c r="E26" s="39"/>
      <c r="F26" s="39"/>
      <c r="G26" s="39"/>
      <c r="H26" s="39"/>
      <c r="I26" s="39"/>
      <c r="J26" s="16"/>
      <c r="K26" s="39"/>
      <c r="L26" s="39"/>
    </row>
    <row r="27" spans="2:13" s="28" customFormat="1" x14ac:dyDescent="0.25">
      <c r="B27" t="s">
        <v>17</v>
      </c>
      <c r="D27" s="53">
        <f>ROUND(D12+D17+D22/6,0)</f>
        <v>235</v>
      </c>
      <c r="E27" s="53"/>
      <c r="F27" s="53">
        <f>ROUND(F12+F17+F22/6,0)</f>
        <v>88</v>
      </c>
      <c r="G27" s="53"/>
      <c r="H27" s="53">
        <f>ROUND(H12+H17+H22/6,0)</f>
        <v>0</v>
      </c>
      <c r="I27" s="53"/>
      <c r="J27" s="53">
        <f>ROUND(J12+J17+J22/6,0)-1</f>
        <v>8</v>
      </c>
      <c r="K27" s="53"/>
      <c r="L27" s="53">
        <f>SUM(D27:K27)</f>
        <v>331</v>
      </c>
      <c r="M27" s="54"/>
    </row>
    <row r="28" spans="2:13" s="28" customFormat="1" x14ac:dyDescent="0.25">
      <c r="B28" s="11" t="s">
        <v>18</v>
      </c>
      <c r="D28" s="53">
        <f>ROUND(D13+D18+D23/6,0)</f>
        <v>41</v>
      </c>
      <c r="E28" s="53"/>
      <c r="F28" s="53">
        <f>ROUND(F13+F18+F23/6,0)</f>
        <v>4</v>
      </c>
      <c r="G28" s="53"/>
      <c r="H28" s="53">
        <f>ROUND(H13+H18+H23/6,0)</f>
        <v>0</v>
      </c>
      <c r="I28" s="53"/>
      <c r="J28" s="53">
        <f>ROUND(J13+J18+J23/6,0)</f>
        <v>1</v>
      </c>
      <c r="K28" s="53"/>
      <c r="L28" s="53">
        <f>SUM(D28:K28)</f>
        <v>46</v>
      </c>
      <c r="M28" s="54"/>
    </row>
    <row r="29" spans="2:13" s="28" customFormat="1" ht="13.8" thickBot="1" x14ac:dyDescent="0.3">
      <c r="B29" s="49" t="s">
        <v>16</v>
      </c>
      <c r="D29" s="55">
        <f>+D28+D27</f>
        <v>276</v>
      </c>
      <c r="E29" s="39"/>
      <c r="F29" s="55">
        <f>+F28+F27</f>
        <v>92</v>
      </c>
      <c r="G29" s="39"/>
      <c r="H29" s="55">
        <f>+H28+H27</f>
        <v>0</v>
      </c>
      <c r="I29" s="39"/>
      <c r="J29" s="55">
        <f>+J28+J27</f>
        <v>9</v>
      </c>
      <c r="K29" s="39"/>
      <c r="L29" s="55">
        <f>+L28+L27</f>
        <v>377</v>
      </c>
    </row>
    <row r="30" spans="2:13" ht="13.8" thickTop="1" x14ac:dyDescent="0.25"/>
    <row r="32" spans="2:13" x14ac:dyDescent="0.25">
      <c r="B32" s="74" t="s">
        <v>40</v>
      </c>
    </row>
    <row r="33" spans="2:2" ht="6" customHeight="1" x14ac:dyDescent="0.25">
      <c r="B33" s="74"/>
    </row>
    <row r="34" spans="2:2" x14ac:dyDescent="0.25">
      <c r="B34" s="74" t="s">
        <v>31</v>
      </c>
    </row>
    <row r="35" spans="2:2" x14ac:dyDescent="0.25">
      <c r="B35" s="74" t="s">
        <v>32</v>
      </c>
    </row>
  </sheetData>
  <pageMargins left="0.5" right="0.5" top="0.5" bottom="0.5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Statements of Income</vt:lpstr>
      <vt:lpstr>Production Statistics</vt:lpstr>
      <vt:lpstr>Reserves</vt:lpstr>
      <vt:lpstr>'Production Statistics'!Print_Area</vt:lpstr>
      <vt:lpstr>'Statements of Income'!Print_Area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kiedykd</dc:creator>
  <cp:lastModifiedBy>Dale, Larry</cp:lastModifiedBy>
  <cp:lastPrinted>2020-03-04T21:26:04Z</cp:lastPrinted>
  <dcterms:created xsi:type="dcterms:W3CDTF">2014-09-30T22:55:06Z</dcterms:created>
  <dcterms:modified xsi:type="dcterms:W3CDTF">2024-02-17T01:28:47Z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4" name="_NewReviewCycle">
    <vt:lpwstr/>
  </property>
  <property fmtid="{D5CDD505-2E9C-101B-9397-08002B2CF9AE}" pid="9" name="SV_HIDDEN_GRID_QUERY_LIST_4F35BF76-6C0D-4D9B-82B2-816C12CF3733">
    <vt:lpwstr>empty_477D106A-C0D6-4607-AEBD-E2C9D60EA279</vt:lpwstr>
  </property>
</Properties>
</file>