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S:\CRCacctcorp\Earnings Release\2019\4Q 2019\"/>
    </mc:Choice>
  </mc:AlternateContent>
  <xr:revisionPtr revIDLastSave="0" documentId="13_ncr:1_{0C4CF244-B4D0-4BA3-AE7F-643EA0723DA6}" xr6:coauthVersionLast="44" xr6:coauthVersionMax="44" xr10:uidLastSave="{00000000-0000-0000-0000-000000000000}"/>
  <bookViews>
    <workbookView xWindow="28680" yWindow="-120" windowWidth="29040" windowHeight="17640" xr2:uid="{00000000-000D-0000-FFFF-FFFF00000000}"/>
  </bookViews>
  <sheets>
    <sheet name="Statements of Income" sheetId="4" r:id="rId1"/>
    <sheet name="Production Statistics" sheetId="2" r:id="rId2"/>
    <sheet name="Reserves" sheetId="3" r:id="rId3"/>
  </sheets>
  <definedNames>
    <definedName name="_xlnm.Print_Area" localSheetId="1">'Production Statistics'!$A$1:$W$32</definedName>
    <definedName name="_xlnm.Print_Area" localSheetId="0">'Statements of Income'!$B$1:$Z$102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8" i="3" l="1"/>
  <c r="F28" i="3"/>
  <c r="F27" i="3"/>
  <c r="W77" i="4"/>
  <c r="V79" i="4"/>
  <c r="V77" i="4"/>
  <c r="V70" i="4"/>
  <c r="V68" i="4"/>
  <c r="W62" i="4"/>
  <c r="V62" i="4"/>
  <c r="V60" i="4"/>
  <c r="W59" i="4"/>
  <c r="V30" i="4"/>
  <c r="V21" i="4"/>
  <c r="V37" i="4"/>
  <c r="E71" i="4" l="1"/>
  <c r="G71" i="4"/>
  <c r="I71" i="4"/>
  <c r="K71" i="4"/>
  <c r="N71" i="4"/>
  <c r="O71" i="4"/>
  <c r="P71" i="4"/>
  <c r="S71" i="4"/>
  <c r="T71" i="4"/>
  <c r="U71" i="4"/>
  <c r="V71" i="4"/>
  <c r="V76" i="4"/>
  <c r="V75" i="4"/>
  <c r="V67" i="4"/>
  <c r="V66" i="4"/>
  <c r="V65" i="4"/>
  <c r="V59" i="4"/>
  <c r="V58" i="4"/>
  <c r="V57" i="4"/>
  <c r="V55" i="4"/>
  <c r="V54" i="4"/>
  <c r="V53" i="4"/>
  <c r="V49" i="4"/>
  <c r="V48" i="4"/>
  <c r="V47" i="4"/>
  <c r="V50" i="4" l="1"/>
  <c r="U24" i="2"/>
  <c r="U17" i="2"/>
  <c r="U12" i="2"/>
  <c r="V38" i="4"/>
  <c r="V22" i="4"/>
  <c r="V12" i="4"/>
  <c r="U26" i="2" l="1"/>
  <c r="V72" i="4"/>
  <c r="V24" i="4"/>
  <c r="V31" i="4" s="1"/>
  <c r="V33" i="4" s="1"/>
  <c r="V40" i="4" s="1"/>
  <c r="W94" i="4"/>
  <c r="W93" i="4"/>
  <c r="W71" i="4" s="1"/>
  <c r="T94" i="4"/>
  <c r="U59" i="4" l="1"/>
  <c r="U21" i="4" l="1"/>
  <c r="U16" i="4"/>
  <c r="U94" i="4" l="1"/>
  <c r="T24" i="2" l="1"/>
  <c r="T17" i="2"/>
  <c r="T12" i="2"/>
  <c r="T26" i="2" l="1"/>
  <c r="U76" i="4" l="1"/>
  <c r="U75" i="4"/>
  <c r="U68" i="4"/>
  <c r="U67" i="4"/>
  <c r="U66" i="4"/>
  <c r="U65" i="4"/>
  <c r="U58" i="4"/>
  <c r="U57" i="4"/>
  <c r="U55" i="4"/>
  <c r="U54" i="4"/>
  <c r="U53" i="4"/>
  <c r="U49" i="4"/>
  <c r="U48" i="4"/>
  <c r="U47" i="4"/>
  <c r="U50" i="4" s="1"/>
  <c r="U38" i="4"/>
  <c r="U22" i="4"/>
  <c r="U12" i="4"/>
  <c r="U77" i="4" l="1"/>
  <c r="U60" i="4"/>
  <c r="U62" i="4" s="1"/>
  <c r="U70" i="4" s="1"/>
  <c r="U72" i="4" s="1"/>
  <c r="U24" i="4"/>
  <c r="U31" i="4" s="1"/>
  <c r="U33" i="4" s="1"/>
  <c r="U40" i="4" s="1"/>
  <c r="T59" i="4"/>
  <c r="T49" i="4"/>
  <c r="T47" i="4"/>
  <c r="T48" i="4"/>
  <c r="T76" i="4"/>
  <c r="T75" i="4"/>
  <c r="T68" i="4"/>
  <c r="T67" i="4"/>
  <c r="T66" i="4"/>
  <c r="T65" i="4"/>
  <c r="T58" i="4"/>
  <c r="T57" i="4"/>
  <c r="T55" i="4"/>
  <c r="T54" i="4"/>
  <c r="T53" i="4"/>
  <c r="U79" i="4" l="1"/>
  <c r="T50" i="4"/>
  <c r="T77" i="4"/>
  <c r="T60" i="4"/>
  <c r="T62" i="4" s="1"/>
  <c r="T70" i="4" s="1"/>
  <c r="T72" i="4" s="1"/>
  <c r="T79" i="4" s="1"/>
  <c r="W37" i="4" l="1"/>
  <c r="W36" i="4"/>
  <c r="W32" i="4"/>
  <c r="W30" i="4"/>
  <c r="W29" i="4"/>
  <c r="W28" i="4"/>
  <c r="W27" i="4"/>
  <c r="W21" i="4"/>
  <c r="W20" i="4"/>
  <c r="W19" i="4"/>
  <c r="W18" i="4"/>
  <c r="W17" i="4"/>
  <c r="W16" i="4"/>
  <c r="W15" i="4"/>
  <c r="W11" i="4"/>
  <c r="W10" i="4"/>
  <c r="W9" i="4"/>
  <c r="T38" i="4"/>
  <c r="T22" i="4"/>
  <c r="T12" i="4"/>
  <c r="T24" i="4" l="1"/>
  <c r="T31" i="4" s="1"/>
  <c r="T33" i="4" s="1"/>
  <c r="T40" i="4" s="1"/>
  <c r="W12" i="4"/>
  <c r="W38" i="4"/>
  <c r="W22" i="4"/>
  <c r="V24" i="2"/>
  <c r="V17" i="2"/>
  <c r="V12" i="2"/>
  <c r="S24" i="2"/>
  <c r="S17" i="2"/>
  <c r="S12" i="2"/>
  <c r="V26" i="2" l="1"/>
  <c r="S26" i="2"/>
  <c r="W24" i="4"/>
  <c r="W31" i="4" s="1"/>
  <c r="W33" i="4" s="1"/>
  <c r="W40" i="4" s="1"/>
  <c r="S76" i="4"/>
  <c r="S75" i="4"/>
  <c r="P76" i="4"/>
  <c r="P77" i="4" s="1"/>
  <c r="O76" i="4"/>
  <c r="P75" i="4"/>
  <c r="O75" i="4"/>
  <c r="N76" i="4"/>
  <c r="N75" i="4"/>
  <c r="K76" i="4"/>
  <c r="K75" i="4"/>
  <c r="I76" i="4"/>
  <c r="I75" i="4"/>
  <c r="G76" i="4"/>
  <c r="G75" i="4"/>
  <c r="E76" i="4"/>
  <c r="E75" i="4"/>
  <c r="Q37" i="4"/>
  <c r="Q36" i="4"/>
  <c r="S38" i="4"/>
  <c r="P38" i="4"/>
  <c r="O38" i="4"/>
  <c r="N38" i="4"/>
  <c r="M38" i="4"/>
  <c r="K38" i="4"/>
  <c r="I38" i="4"/>
  <c r="G38" i="4"/>
  <c r="E38" i="4"/>
  <c r="O77" i="4" l="1"/>
  <c r="Q38" i="4"/>
  <c r="E77" i="4"/>
  <c r="N77" i="4"/>
  <c r="I77" i="4"/>
  <c r="G77" i="4"/>
  <c r="K77" i="4"/>
  <c r="S77" i="4"/>
  <c r="S49" i="4"/>
  <c r="V102" i="4"/>
  <c r="V101" i="4"/>
  <c r="V100" i="4"/>
  <c r="V99" i="4"/>
  <c r="V98" i="4"/>
  <c r="V97" i="4"/>
  <c r="V96" i="4"/>
  <c r="U102" i="4"/>
  <c r="U101" i="4"/>
  <c r="U100" i="4"/>
  <c r="U99" i="4"/>
  <c r="U98" i="4"/>
  <c r="U97" i="4"/>
  <c r="U96" i="4"/>
  <c r="T102" i="4"/>
  <c r="T101" i="4"/>
  <c r="T100" i="4"/>
  <c r="T99" i="4"/>
  <c r="T98" i="4"/>
  <c r="T97" i="4"/>
  <c r="T96" i="4"/>
  <c r="S101" i="4"/>
  <c r="R24" i="2" l="1"/>
  <c r="R17" i="2"/>
  <c r="R12" i="2"/>
  <c r="S65" i="4"/>
  <c r="W45" i="4"/>
  <c r="V45" i="4"/>
  <c r="U45" i="4"/>
  <c r="T45" i="4"/>
  <c r="S45" i="4"/>
  <c r="S22" i="4"/>
  <c r="S97" i="4" s="1"/>
  <c r="S12" i="4"/>
  <c r="S96" i="4" s="1"/>
  <c r="R26" i="2" l="1"/>
  <c r="S47" i="4"/>
  <c r="S53" i="4"/>
  <c r="S59" i="4"/>
  <c r="S58" i="4"/>
  <c r="S24" i="4"/>
  <c r="S98" i="4" s="1"/>
  <c r="S68" i="4"/>
  <c r="S57" i="4"/>
  <c r="S67" i="4"/>
  <c r="S55" i="4"/>
  <c r="S66" i="4"/>
  <c r="S54" i="4"/>
  <c r="S48" i="4"/>
  <c r="W49" i="4" l="1"/>
  <c r="W96" i="4"/>
  <c r="W48" i="4"/>
  <c r="W66" i="4"/>
  <c r="W65" i="4"/>
  <c r="W75" i="4"/>
  <c r="W53" i="4"/>
  <c r="W60" i="4" s="1"/>
  <c r="W68" i="4"/>
  <c r="W57" i="4"/>
  <c r="W67" i="4"/>
  <c r="W58" i="4"/>
  <c r="W47" i="4"/>
  <c r="W50" i="4" s="1"/>
  <c r="W55" i="4"/>
  <c r="W76" i="4"/>
  <c r="W54" i="4"/>
  <c r="S50" i="4"/>
  <c r="W101" i="4"/>
  <c r="W97" i="4"/>
  <c r="S31" i="4"/>
  <c r="S99" i="4" s="1"/>
  <c r="S60" i="4"/>
  <c r="S62" i="4" l="1"/>
  <c r="S70" i="4" s="1"/>
  <c r="S72" i="4" s="1"/>
  <c r="S79" i="4" s="1"/>
  <c r="S33" i="4"/>
  <c r="W98" i="4"/>
  <c r="W99" i="4"/>
  <c r="W70" i="4" l="1"/>
  <c r="W72" i="4" s="1"/>
  <c r="W79" i="4" s="1"/>
  <c r="S40" i="4"/>
  <c r="S102" i="4" s="1"/>
  <c r="S100" i="4"/>
  <c r="W102" i="4"/>
  <c r="W100" i="4"/>
  <c r="J28" i="3" l="1"/>
  <c r="P29" i="4" l="1"/>
  <c r="P65" i="4" l="1"/>
  <c r="O24" i="2" l="1"/>
  <c r="O17" i="2"/>
  <c r="O12" i="2"/>
  <c r="O26" i="2" l="1"/>
  <c r="P22" i="4"/>
  <c r="P97" i="4" s="1"/>
  <c r="P12" i="4"/>
  <c r="P96" i="4" s="1"/>
  <c r="P101" i="4"/>
  <c r="P49" i="4"/>
  <c r="P68" i="4"/>
  <c r="P67" i="4"/>
  <c r="P66" i="4"/>
  <c r="P59" i="4"/>
  <c r="P58" i="4"/>
  <c r="P57" i="4"/>
  <c r="P55" i="4"/>
  <c r="P54" i="4"/>
  <c r="P53" i="4"/>
  <c r="P48" i="4"/>
  <c r="P47" i="4"/>
  <c r="P60" i="4" l="1"/>
  <c r="P24" i="4"/>
  <c r="P98" i="4" s="1"/>
  <c r="P50" i="4"/>
  <c r="O68" i="4"/>
  <c r="O59" i="4"/>
  <c r="O101" i="4"/>
  <c r="O67" i="4"/>
  <c r="O66" i="4"/>
  <c r="O65" i="4"/>
  <c r="O58" i="4"/>
  <c r="O57" i="4"/>
  <c r="O55" i="4"/>
  <c r="O54" i="4"/>
  <c r="O53" i="4"/>
  <c r="O49" i="4"/>
  <c r="O48" i="4"/>
  <c r="O47" i="4"/>
  <c r="P62" i="4" l="1"/>
  <c r="P70" i="4" s="1"/>
  <c r="P72" i="4" s="1"/>
  <c r="P79" i="4" s="1"/>
  <c r="P31" i="4"/>
  <c r="P99" i="4" s="1"/>
  <c r="O50" i="4"/>
  <c r="O60" i="4"/>
  <c r="O22" i="4"/>
  <c r="O97" i="4" s="1"/>
  <c r="O12" i="4"/>
  <c r="O96" i="4" s="1"/>
  <c r="O62" i="4" l="1"/>
  <c r="O70" i="4" s="1"/>
  <c r="O72" i="4" s="1"/>
  <c r="O79" i="4" s="1"/>
  <c r="P33" i="4"/>
  <c r="P40" i="4" s="1"/>
  <c r="P100" i="4"/>
  <c r="P102" i="4"/>
  <c r="O24" i="4"/>
  <c r="N24" i="2"/>
  <c r="N17" i="2"/>
  <c r="N12" i="2"/>
  <c r="N26" i="2" l="1"/>
  <c r="O98" i="4"/>
  <c r="O31" i="4"/>
  <c r="P24" i="2"/>
  <c r="P17" i="2"/>
  <c r="P12" i="2"/>
  <c r="M24" i="2"/>
  <c r="M17" i="2"/>
  <c r="M12" i="2"/>
  <c r="M26" i="2" l="1"/>
  <c r="O99" i="4"/>
  <c r="O33" i="4"/>
  <c r="O40" i="4" s="1"/>
  <c r="P26" i="2"/>
  <c r="O100" i="4" l="1"/>
  <c r="O102" i="4"/>
  <c r="N101" i="4"/>
  <c r="N59" i="4"/>
  <c r="N68" i="4"/>
  <c r="N67" i="4"/>
  <c r="N65" i="4"/>
  <c r="N66" i="4"/>
  <c r="N58" i="4"/>
  <c r="N57" i="4"/>
  <c r="N55" i="4"/>
  <c r="N54" i="4"/>
  <c r="N53" i="4"/>
  <c r="N49" i="4"/>
  <c r="N48" i="4"/>
  <c r="N47" i="4"/>
  <c r="N60" i="4" l="1"/>
  <c r="N50" i="4"/>
  <c r="N62" i="4" s="1"/>
  <c r="N70" i="4" l="1"/>
  <c r="N72" i="4" s="1"/>
  <c r="N79" i="4" s="1"/>
  <c r="Q32" i="4" l="1"/>
  <c r="Q30" i="4"/>
  <c r="Q29" i="4"/>
  <c r="Q28" i="4"/>
  <c r="Q27" i="4"/>
  <c r="Q21" i="4"/>
  <c r="Q20" i="4"/>
  <c r="Q19" i="4"/>
  <c r="Q18" i="4"/>
  <c r="Q17" i="4"/>
  <c r="Q16" i="4"/>
  <c r="Q15" i="4"/>
  <c r="Q11" i="4"/>
  <c r="Q10" i="4"/>
  <c r="Q9" i="4"/>
  <c r="N22" i="4"/>
  <c r="N97" i="4" s="1"/>
  <c r="N12" i="4"/>
  <c r="N96" i="4" s="1"/>
  <c r="Q12" i="4" l="1"/>
  <c r="N24" i="4"/>
  <c r="N98" i="4" s="1"/>
  <c r="Q22" i="4"/>
  <c r="M94" i="4"/>
  <c r="N31" i="4" l="1"/>
  <c r="N99" i="4" s="1"/>
  <c r="Q24" i="4"/>
  <c r="I68" i="4"/>
  <c r="I59" i="4"/>
  <c r="N33" i="4" l="1"/>
  <c r="Q31" i="4"/>
  <c r="G30" i="4"/>
  <c r="G68" i="4" s="1"/>
  <c r="G21" i="4"/>
  <c r="I16" i="4"/>
  <c r="G16" i="4"/>
  <c r="E16" i="4"/>
  <c r="N100" i="4" l="1"/>
  <c r="N40" i="4"/>
  <c r="N102" i="4" s="1"/>
  <c r="Q33" i="4"/>
  <c r="Q40" i="4" s="1"/>
  <c r="L24" i="2"/>
  <c r="L17" i="2"/>
  <c r="L12" i="2"/>
  <c r="L26" i="2" l="1"/>
  <c r="M101" i="4" l="1"/>
  <c r="M93" i="4"/>
  <c r="M71" i="4" s="1"/>
  <c r="Q94" i="4"/>
  <c r="Q45" i="4"/>
  <c r="P45" i="4"/>
  <c r="O45" i="4"/>
  <c r="N45" i="4"/>
  <c r="M45" i="4"/>
  <c r="M22" i="4"/>
  <c r="M97" i="4" s="1"/>
  <c r="M12" i="4"/>
  <c r="M96" i="4" s="1"/>
  <c r="M76" i="4" l="1"/>
  <c r="M75" i="4"/>
  <c r="M59" i="4"/>
  <c r="M53" i="4"/>
  <c r="M67" i="4"/>
  <c r="M57" i="4"/>
  <c r="M48" i="4"/>
  <c r="M66" i="4"/>
  <c r="M55" i="4"/>
  <c r="M47" i="4"/>
  <c r="M65" i="4"/>
  <c r="M54" i="4"/>
  <c r="M68" i="4"/>
  <c r="M58" i="4"/>
  <c r="M49" i="4"/>
  <c r="Q93" i="4"/>
  <c r="Q71" i="4" s="1"/>
  <c r="M24" i="4"/>
  <c r="Q65" i="4" l="1"/>
  <c r="Q75" i="4"/>
  <c r="Q76" i="4"/>
  <c r="M77" i="4"/>
  <c r="M60" i="4"/>
  <c r="M50" i="4"/>
  <c r="Q101" i="4"/>
  <c r="Q96" i="4"/>
  <c r="Q97" i="4"/>
  <c r="Q98" i="4"/>
  <c r="Q99" i="4"/>
  <c r="Q100" i="4"/>
  <c r="Q102" i="4"/>
  <c r="Q47" i="4"/>
  <c r="Q59" i="4"/>
  <c r="Q57" i="4"/>
  <c r="Q48" i="4"/>
  <c r="Q54" i="4"/>
  <c r="Q49" i="4"/>
  <c r="Q53" i="4"/>
  <c r="Q58" i="4"/>
  <c r="Q68" i="4"/>
  <c r="Q66" i="4"/>
  <c r="Q67" i="4"/>
  <c r="Q55" i="4"/>
  <c r="M98" i="4"/>
  <c r="M31" i="4"/>
  <c r="M62" i="4" l="1"/>
  <c r="M70" i="4" s="1"/>
  <c r="M72" i="4" s="1"/>
  <c r="M79" i="4" s="1"/>
  <c r="Q77" i="4"/>
  <c r="Q60" i="4"/>
  <c r="Q50" i="4"/>
  <c r="M99" i="4"/>
  <c r="M33" i="4"/>
  <c r="M40" i="4" s="1"/>
  <c r="Q62" i="4" l="1"/>
  <c r="M102" i="4"/>
  <c r="M100" i="4"/>
  <c r="Q70" i="4" l="1"/>
  <c r="Q72" i="4" s="1"/>
  <c r="Q79" i="4" s="1"/>
  <c r="J24" i="2" l="1"/>
  <c r="J17" i="2"/>
  <c r="J12" i="2"/>
  <c r="J26" i="2" l="1"/>
  <c r="G67" i="4" l="1"/>
  <c r="E67" i="4"/>
  <c r="K12" i="4" l="1"/>
  <c r="K22" i="4" l="1"/>
  <c r="K24" i="4" s="1"/>
  <c r="K31" i="4" s="1"/>
  <c r="K33" i="4" l="1"/>
  <c r="K40" i="4" s="1"/>
  <c r="K59" i="4" l="1"/>
  <c r="K45" i="4"/>
  <c r="K67" i="4" l="1"/>
  <c r="K66" i="4"/>
  <c r="K55" i="4"/>
  <c r="K48" i="4"/>
  <c r="K65" i="4"/>
  <c r="K54" i="4"/>
  <c r="K47" i="4"/>
  <c r="K58" i="4"/>
  <c r="K53" i="4"/>
  <c r="K101" i="4"/>
  <c r="K68" i="4"/>
  <c r="K57" i="4"/>
  <c r="K49" i="4"/>
  <c r="K102" i="4"/>
  <c r="K96" i="4"/>
  <c r="K97" i="4"/>
  <c r="H24" i="2"/>
  <c r="H17" i="2"/>
  <c r="H12" i="2"/>
  <c r="E68" i="4"/>
  <c r="H26" i="2" l="1"/>
  <c r="K60" i="4"/>
  <c r="K50" i="4"/>
  <c r="K62" i="4" l="1"/>
  <c r="K70" i="4" s="1"/>
  <c r="K72" i="4" s="1"/>
  <c r="K79" i="4" s="1"/>
  <c r="K98" i="4"/>
  <c r="K99" i="4" l="1"/>
  <c r="K100" i="4"/>
  <c r="D28" i="3" l="1"/>
  <c r="E59" i="4"/>
  <c r="E65" i="4"/>
  <c r="E66" i="4" l="1"/>
  <c r="E9" i="4" l="1"/>
  <c r="E11" i="4"/>
  <c r="I22" i="4" l="1"/>
  <c r="I12" i="4"/>
  <c r="E48" i="4"/>
  <c r="I24" i="4" l="1"/>
  <c r="I31" i="4" s="1"/>
  <c r="I33" i="4" l="1"/>
  <c r="I40" i="4" s="1"/>
  <c r="E56" i="4" l="1"/>
  <c r="E47" i="4"/>
  <c r="D27" i="3" l="1"/>
  <c r="H27" i="3" l="1"/>
  <c r="E58" i="4" l="1"/>
  <c r="E57" i="4"/>
  <c r="E55" i="4"/>
  <c r="E53" i="4"/>
  <c r="E49" i="4"/>
  <c r="E22" i="4"/>
  <c r="E97" i="4" s="1"/>
  <c r="E54" i="4"/>
  <c r="E12" i="4"/>
  <c r="J27" i="3"/>
  <c r="H29" i="3"/>
  <c r="J24" i="3"/>
  <c r="H24" i="3"/>
  <c r="F24" i="3"/>
  <c r="D24" i="3"/>
  <c r="J19" i="3"/>
  <c r="H19" i="3"/>
  <c r="F19" i="3"/>
  <c r="D19" i="3"/>
  <c r="J14" i="3"/>
  <c r="H14" i="3"/>
  <c r="F14" i="3"/>
  <c r="D14" i="3"/>
  <c r="G47" i="4"/>
  <c r="D24" i="2"/>
  <c r="D17" i="2"/>
  <c r="D12" i="2"/>
  <c r="L23" i="3"/>
  <c r="L22" i="3"/>
  <c r="L18" i="3"/>
  <c r="L17" i="3"/>
  <c r="L13" i="3"/>
  <c r="L12" i="3"/>
  <c r="F24" i="2"/>
  <c r="F17" i="2"/>
  <c r="F12" i="2"/>
  <c r="D26" i="2" l="1"/>
  <c r="I67" i="4"/>
  <c r="F26" i="2"/>
  <c r="G55" i="4"/>
  <c r="E60" i="4"/>
  <c r="G65" i="4"/>
  <c r="I65" i="4"/>
  <c r="I96" i="4"/>
  <c r="I97" i="4"/>
  <c r="I98" i="4"/>
  <c r="I99" i="4"/>
  <c r="I100" i="4"/>
  <c r="E24" i="4"/>
  <c r="E31" i="4" s="1"/>
  <c r="I53" i="4"/>
  <c r="I54" i="4"/>
  <c r="G66" i="4"/>
  <c r="G48" i="4"/>
  <c r="E96" i="4"/>
  <c r="I66" i="4"/>
  <c r="I57" i="4"/>
  <c r="I49" i="4"/>
  <c r="I55" i="4"/>
  <c r="I48" i="4"/>
  <c r="I47" i="4"/>
  <c r="I58" i="4"/>
  <c r="G49" i="4"/>
  <c r="G57" i="4"/>
  <c r="G58" i="4"/>
  <c r="G56" i="4"/>
  <c r="G53" i="4"/>
  <c r="G59" i="4"/>
  <c r="J29" i="3"/>
  <c r="D29" i="3"/>
  <c r="L28" i="3"/>
  <c r="G54" i="4"/>
  <c r="E50" i="4"/>
  <c r="G12" i="4"/>
  <c r="G96" i="4" s="1"/>
  <c r="F29" i="3"/>
  <c r="L27" i="3"/>
  <c r="L24" i="3"/>
  <c r="L19" i="3"/>
  <c r="L14" i="3"/>
  <c r="E62" i="4" l="1"/>
  <c r="E70" i="4" s="1"/>
  <c r="E72" i="4" s="1"/>
  <c r="E79" i="4" s="1"/>
  <c r="G60" i="4"/>
  <c r="I60" i="4"/>
  <c r="E99" i="4"/>
  <c r="E98" i="4"/>
  <c r="G50" i="4"/>
  <c r="I50" i="4"/>
  <c r="L29" i="3"/>
  <c r="G22" i="4"/>
  <c r="G97" i="4" s="1"/>
  <c r="G62" i="4" l="1"/>
  <c r="G70" i="4" s="1"/>
  <c r="I62" i="4"/>
  <c r="I70" i="4" s="1"/>
  <c r="E33" i="4"/>
  <c r="E40" i="4" s="1"/>
  <c r="G24" i="4"/>
  <c r="G31" i="4" s="1"/>
  <c r="E100" i="4" l="1"/>
  <c r="G72" i="4"/>
  <c r="G79" i="4" s="1"/>
  <c r="I72" i="4"/>
  <c r="I79" i="4" s="1"/>
  <c r="G98" i="4"/>
  <c r="G33" i="4" l="1"/>
  <c r="G40" i="4" s="1"/>
  <c r="G99" i="4"/>
  <c r="G100" i="4" l="1"/>
</calcChain>
</file>

<file path=xl/sharedStrings.xml><?xml version="1.0" encoding="utf-8"?>
<sst xmlns="http://schemas.openxmlformats.org/spreadsheetml/2006/main" count="144" uniqueCount="79">
  <si>
    <t>California Resources Corporation</t>
  </si>
  <si>
    <t>Total</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</si>
  <si>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</si>
  <si>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</si>
  <si>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</si>
  <si>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</si>
  <si>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</si>
  <si>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</si>
  <si>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</si>
  <si>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</si>
  <si>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</si>
  <si>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</si>
  <si>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</si>
  <si>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</si>
  <si>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</si>
  <si>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</si>
  <si>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Sales Volume MBOE</t>
  </si>
  <si>
    <t xml:space="preserve">   Total</t>
  </si>
  <si>
    <t xml:space="preserve">Production Volume </t>
  </si>
  <si>
    <t>Proved Developed Reserves</t>
  </si>
  <si>
    <t>Proved Undeveloped Reserves</t>
  </si>
  <si>
    <t>Interest and debt expense, net</t>
  </si>
  <si>
    <t xml:space="preserve"> </t>
  </si>
  <si>
    <t>Income tax benefit</t>
  </si>
  <si>
    <t>Costs and Other</t>
  </si>
  <si>
    <t xml:space="preserve">   Total costs and other</t>
  </si>
  <si>
    <t>Revenues and Other</t>
  </si>
  <si>
    <t xml:space="preserve">  Other revenue</t>
  </si>
  <si>
    <t xml:space="preserve">  Production costs</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</si>
  <si>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</si>
  <si>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</si>
  <si>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</si>
  <si>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</si>
  <si>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</si>
  <si>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</si>
  <si>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</si>
  <si>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</si>
  <si>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t>Non-Operating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</si>
  <si>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</si>
  <si>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</si>
  <si>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</si>
  <si>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</si>
  <si>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t xml:space="preserve">     which California Resources Corporation (CRC) assumed with the Spin-off.  All financial information presented after the Spin-off represents CRC's stand-alone consolidated results of operations.</t>
  </si>
  <si>
    <t xml:space="preserve">     For the year ended December 31, 2014 the statement of operations includes the consolidated results for the month ended December 31, 2014 and the combined results of the California business prior to the Spin-off.</t>
  </si>
  <si>
    <t>(a) Prior to the Spin-off on November 30, 2014, financial data was derived from Occidental Petroleum Corporation's California oil and gas exploration and production operations and related assets, liabilities and obligations (California business),</t>
  </si>
  <si>
    <t>1Q 2018</t>
  </si>
  <si>
    <t>2Q 2018</t>
  </si>
  <si>
    <t>3Q 2018</t>
  </si>
  <si>
    <t>4Q 2018</t>
  </si>
  <si>
    <t>(a)</t>
  </si>
  <si>
    <r>
      <t>Consolidated Statements of Operations (in millions)</t>
    </r>
    <r>
      <rPr>
        <b/>
        <sz val="12"/>
        <rFont val="Arial"/>
        <family val="2"/>
      </rPr>
      <t>:</t>
    </r>
  </si>
  <si>
    <t xml:space="preserve">  Oil and gas sales</t>
  </si>
  <si>
    <r>
      <t xml:space="preserve">   Total revenues and other </t>
    </r>
    <r>
      <rPr>
        <vertAlign val="superscript"/>
        <sz val="10"/>
        <rFont val="Arial"/>
        <family val="2"/>
      </rPr>
      <t>(b)</t>
    </r>
  </si>
  <si>
    <r>
      <t>Consolidated Statements of Operations ($/BOE)</t>
    </r>
    <r>
      <rPr>
        <b/>
        <sz val="12"/>
        <rFont val="Arial"/>
        <family val="2"/>
      </rPr>
      <t>:</t>
    </r>
  </si>
  <si>
    <r>
      <t xml:space="preserve">  Other expenses, net </t>
    </r>
    <r>
      <rPr>
        <vertAlign val="superscript"/>
        <sz val="10"/>
        <rFont val="Arial"/>
        <family val="2"/>
      </rPr>
      <t>(b)</t>
    </r>
  </si>
  <si>
    <t>(b)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</si>
  <si>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     reported as expense as opposed to being netted against revenue.  The adoption of this standard does not affect net income.   </t>
  </si>
  <si>
    <r>
      <t xml:space="preserve">  General and administrative expenses </t>
    </r>
    <r>
      <rPr>
        <vertAlign val="superscript"/>
        <sz val="10"/>
        <rFont val="Arial"/>
        <family val="2"/>
      </rPr>
      <t>(c)</t>
    </r>
  </si>
  <si>
    <r>
      <t xml:space="preserve">Other non-operating expenses </t>
    </r>
    <r>
      <rPr>
        <vertAlign val="superscript"/>
        <sz val="10"/>
        <rFont val="Arial"/>
        <family val="2"/>
      </rPr>
      <t>(c)</t>
    </r>
  </si>
  <si>
    <t xml:space="preserve">(c) The non-service cost component of net benefit cost related to CRC's pension and postretirement benefit plans have been reclassified from general and administrative expenses to other non-operating expenses as a result of the adoption of ASU 2017-07 on January 1, 2018. </t>
  </si>
  <si>
    <t xml:space="preserve">  Net derivative (loss) gain from commodity contracts</t>
  </si>
  <si>
    <t>Gain on asset divestitures</t>
  </si>
  <si>
    <t>Net gain on early extinguishment of debt</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</si>
  <si>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</si>
  <si>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</si>
  <si>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</si>
  <si>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</si>
  <si>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</si>
  <si>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1Q 2019</t>
  </si>
  <si>
    <t>2Q 2019</t>
  </si>
  <si>
    <t>3Q 2019</t>
  </si>
  <si>
    <t>4Q 2019</t>
  </si>
  <si>
    <t xml:space="preserve">  Mezzanine equity</t>
  </si>
  <si>
    <t xml:space="preserve">  Equity</t>
  </si>
  <si>
    <t>Net (Income) Loss Attributable to Noncontrolling Interests</t>
  </si>
  <si>
    <t>Net income attributable to noncontrolling interests</t>
  </si>
  <si>
    <t>Income tax benefit (loss)</t>
  </si>
  <si>
    <t>Net Production Statistics:</t>
  </si>
  <si>
    <t>At December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</si>
</sst>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3" formatCode="_(* #,##0.00_);_(* \(#,##0.00\);_(* &quot;-&quot;??_);_(@_)"/>
    <numFmt numFmtId="164" formatCode="_(* #,##0.000_);_(* \(#,##0.000\);_(* &quot;-&quot;_);_(@_)"/>
    <numFmt numFmtId="165" formatCode="_(* #,##0.0000_);_(* \(#,##0.0000\);_(* &quot;-&quot;??_);_(@_)"/>
    <numFmt numFmtId="166" formatCode="_(&quot;$&quot;* #,##0.00_);_(&quot;$&quot;* \(#,##0.00\);_(&quot;$&quot;* &quot;-&quot;_);_(@_)"/>
    <numFmt numFmtId="167" formatCode="_(* #,##0.00_);_(* \(#,##0.00\);_(* &quot;-&quot;_);_(@_)"/>
    <numFmt numFmtId="168" formatCode="_(* #,##0.0_);_(* \(#,##0.0\);_(* &quot;-&quot;??_);_(@_)"/>
    <numFmt numFmtId="169" formatCode="_(* #,##0.0_);_(* \(#,##0.0\);_(* &quot;-&quot;_);_(@_)"/>
    <numFmt numFmtId="170" formatCode="_(* #,##0.000_);_(* \(#,##0.000\);_(* &quot;-&quot;??_);_(@_)"/>
  </numFmts>
  <fonts count="15"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sz val="10"/>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
      <vertAlign val="superscript"/>
      <sz val="10"/>
      <color theme="1"/>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2">
    <xf numFmtId="0" fontId="0" fillId="0" borderId="0"/>
    <xf numFmtId="43" fontId="6" fillId="0" borderId="0" applyFont="0" applyFill="0" applyBorder="0" applyAlignment="0" applyProtection="0"/>
  </cellStyleXfs>
  <cellXfs count="99">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3" fillId="0" borderId="0" xfId="0" applyNumberFormat="1" applyFont="1" applyBorder="1" applyAlignment="1"/>
    <xf numFmtId="165" fontId="0" fillId="0" borderId="0" xfId="0" applyNumberFormat="1"/>
    <xf numFmtId="166"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6" fontId="3" fillId="0" borderId="2" xfId="0" applyNumberFormat="1" applyFont="1" applyBorder="1" applyAlignment="1"/>
    <xf numFmtId="0" fontId="4" fillId="0" borderId="0" xfId="0" applyNumberFormat="1" applyFont="1" applyBorder="1"/>
    <xf numFmtId="0" fontId="0" fillId="0" borderId="0" xfId="0" applyFill="1" applyBorder="1"/>
    <xf numFmtId="167"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7"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41" fontId="0" fillId="0" borderId="2" xfId="0" applyNumberFormat="1" applyFont="1" applyBorder="1"/>
    <xf numFmtId="41" fontId="3" fillId="0" borderId="2" xfId="0" applyNumberFormat="1" applyFont="1" applyBorder="1"/>
    <xf numFmtId="166" fontId="3" fillId="0" borderId="0" xfId="0" applyNumberFormat="1" applyFont="1" applyFill="1" applyAlignment="1"/>
    <xf numFmtId="0" fontId="0" fillId="2" borderId="0" xfId="0" applyFill="1"/>
    <xf numFmtId="167" fontId="0" fillId="2" borderId="0" xfId="0" applyNumberFormat="1" applyFill="1"/>
    <xf numFmtId="168" fontId="0" fillId="2" borderId="0" xfId="1" applyNumberFormat="1" applyFont="1" applyFill="1"/>
    <xf numFmtId="169" fontId="0" fillId="2" borderId="0" xfId="0" applyNumberFormat="1" applyFill="1"/>
    <xf numFmtId="43" fontId="0" fillId="2" borderId="0" xfId="0" applyNumberFormat="1" applyFill="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9" fillId="0" borderId="0" xfId="0" applyFont="1"/>
    <xf numFmtId="41" fontId="3" fillId="0" borderId="0" xfId="0" applyNumberFormat="1" applyFont="1" applyFill="1" applyBorder="1"/>
    <xf numFmtId="0" fontId="11" fillId="0" borderId="0" xfId="0" applyNumberFormat="1" applyFont="1"/>
    <xf numFmtId="0" fontId="12" fillId="0" borderId="0" xfId="0" applyFont="1" applyAlignment="1">
      <alignment vertical="center"/>
    </xf>
    <xf numFmtId="0" fontId="14" fillId="0" borderId="0" xfId="0" applyFont="1"/>
    <xf numFmtId="41" fontId="0" fillId="0" borderId="3" xfId="0" applyNumberFormat="1" applyFont="1" applyBorder="1"/>
    <xf numFmtId="166" fontId="3" fillId="0" borderId="0" xfId="0" applyNumberFormat="1" applyFont="1" applyFill="1" applyBorder="1" applyAlignment="1"/>
    <xf numFmtId="43" fontId="0" fillId="0" borderId="0" xfId="0" applyNumberFormat="1" applyFill="1" applyBorder="1"/>
    <xf numFmtId="170"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6" fontId="3" fillId="0" borderId="2" xfId="0" applyNumberFormat="1" applyFont="1" applyFill="1" applyBorder="1" applyAlignment="1"/>
    <xf numFmtId="0" fontId="7" fillId="0" borderId="0" xfId="0" applyFont="1" applyFill="1"/>
    <xf numFmtId="166" fontId="3" fillId="0" borderId="0" xfId="0" applyNumberFormat="1" applyFont="1" applyBorder="1" applyAlignmen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XAZ109"/>
  <sheetViews>
    <sheetView showGridLines="0" tabSelected="1" zoomScale="82" zoomScaleNormal="82" workbookViewId="0">
      <selection activeCell="B2" sqref="B2"/>
    </sheetView>
  </sheetViews>
  <sheetFormatPr defaultRowHeight="12.75" outlineLevelRow="1" x14ac:dyDescent="0.2"/>
  <cols>
    <col min="1" max="1" width="4" customWidth="1"/>
    <col min="3" max="3" width="48.7109375" customWidth="1"/>
    <col min="4" max="4" width="2.7109375" customWidth="1"/>
    <col min="5" max="5" width="9.85546875" customWidth="1"/>
    <col min="6" max="6" width="2.7109375" customWidth="1"/>
    <col min="7" max="7" width="9.85546875" customWidth="1"/>
    <col min="8" max="8" width="2.85546875" customWidth="1"/>
    <col min="9" max="9" width="9.85546875" customWidth="1"/>
    <col min="10" max="10" width="3.28515625" customWidth="1"/>
    <col min="11" max="11" width="9.85546875" customWidth="1"/>
    <col min="12" max="12" width="2.7109375" customWidth="1"/>
    <col min="13" max="15" width="9.7109375" customWidth="1"/>
    <col min="16" max="16" width="10.42578125" customWidth="1"/>
    <col min="17" max="17" width="9.85546875" bestFit="1" customWidth="1"/>
    <col min="18" max="18" width="2.28515625" customWidth="1"/>
    <col min="19" max="21" width="9.7109375" customWidth="1"/>
    <col min="22" max="22" width="10.42578125" customWidth="1"/>
    <col min="23" max="23" width="11" bestFit="1" customWidth="1"/>
    <col min="24" max="24" width="9.7109375" customWidth="1"/>
    <col min="25" max="25" width="8.85546875" customWidth="1"/>
  </cols>
  <sheetData>
    <row r="2" spans="1:23" ht="18" x14ac:dyDescent="0.25">
      <c r="B2" s="24" t="s">
        <v>0</v>
      </c>
    </row>
    <row r="3" spans="1:23" x14ac:dyDescent="0.2">
      <c r="A3" t="s">
        <v>22</v>
      </c>
    </row>
    <row r="5" spans="1:23" ht="16.5" thickBot="1" x14ac:dyDescent="0.3">
      <c r="B5" s="26" t="s">
        <v>50</v>
      </c>
      <c r="C5" s="28"/>
      <c r="D5" s="28"/>
      <c r="E5" s="28"/>
      <c r="F5" s="28"/>
      <c r="G5" s="28"/>
      <c r="H5" s="28"/>
      <c r="I5" s="28"/>
      <c r="J5" s="28"/>
      <c r="K5" s="28"/>
      <c r="L5" s="28"/>
      <c r="M5" s="28"/>
      <c r="N5" s="28"/>
      <c r="O5" s="28"/>
      <c r="P5" s="28"/>
      <c r="Q5" s="28"/>
      <c r="R5" s="28"/>
      <c r="S5" s="28"/>
      <c r="T5" s="28"/>
      <c r="U5" s="28"/>
      <c r="V5" s="28"/>
      <c r="W5" s="28"/>
    </row>
    <row r="6" spans="1:23" ht="6" customHeight="1" thickTop="1" x14ac:dyDescent="0.2">
      <c r="B6" s="1"/>
    </row>
    <row r="7" spans="1:23" ht="14.25" x14ac:dyDescent="0.2">
      <c r="E7" s="33">
        <v>2014</v>
      </c>
      <c r="F7" s="89" t="s">
        <v>49</v>
      </c>
      <c r="G7" s="33">
        <v>2015</v>
      </c>
      <c r="I7" s="33">
        <v>2016</v>
      </c>
      <c r="K7" s="33">
        <v>2017</v>
      </c>
      <c r="M7" s="33" t="s">
        <v>45</v>
      </c>
      <c r="N7" s="33" t="s">
        <v>46</v>
      </c>
      <c r="O7" s="33" t="s">
        <v>47</v>
      </c>
      <c r="P7" s="33" t="s">
        <v>48</v>
      </c>
      <c r="Q7" s="33" t="s">
        <v>1</v>
      </c>
      <c r="S7" s="33" t="s">
        <v>68</v>
      </c>
      <c r="T7" s="33" t="s">
        <v>69</v>
      </c>
      <c r="U7" s="33" t="s">
        <v>70</v>
      </c>
      <c r="V7" s="33" t="s">
        <v>71</v>
      </c>
      <c r="W7" s="33" t="s">
        <v>1</v>
      </c>
    </row>
    <row r="8" spans="1:23" x14ac:dyDescent="0.2">
      <c r="B8" s="1" t="s">
        <v>26</v>
      </c>
      <c r="C8" s="2"/>
      <c r="E8" s="3"/>
      <c r="G8" s="6"/>
      <c r="I8" s="4"/>
      <c r="K8" s="4"/>
      <c r="M8" s="3"/>
      <c r="N8" s="4"/>
      <c r="O8" s="4"/>
      <c r="P8" s="4"/>
      <c r="Q8" s="4"/>
      <c r="S8" s="3"/>
      <c r="T8" s="4"/>
      <c r="U8" s="4"/>
      <c r="V8" s="4"/>
      <c r="W8" s="4"/>
    </row>
    <row r="9" spans="1:23" x14ac:dyDescent="0.2">
      <c r="B9" s="39" t="s">
        <v>51</v>
      </c>
      <c r="C9" s="8"/>
      <c r="E9" s="69">
        <f>4023+5+36</f>
        <v>4064</v>
      </c>
      <c r="F9" s="36"/>
      <c r="G9" s="69">
        <v>2134</v>
      </c>
      <c r="H9" s="36"/>
      <c r="I9" s="25">
        <v>1621</v>
      </c>
      <c r="K9" s="69">
        <v>1936</v>
      </c>
      <c r="M9" s="69">
        <v>575</v>
      </c>
      <c r="N9" s="25">
        <v>657</v>
      </c>
      <c r="O9" s="69">
        <v>700</v>
      </c>
      <c r="P9" s="69">
        <v>658</v>
      </c>
      <c r="Q9" s="69">
        <f>+M9+N9+O9+P9</f>
        <v>2590</v>
      </c>
      <c r="S9" s="69">
        <v>601</v>
      </c>
      <c r="T9" s="25">
        <v>578</v>
      </c>
      <c r="U9" s="25">
        <v>541</v>
      </c>
      <c r="V9" s="25">
        <v>550</v>
      </c>
      <c r="W9" s="69">
        <f>+S9+T9+U9+V9</f>
        <v>2270</v>
      </c>
    </row>
    <row r="10" spans="1:23" x14ac:dyDescent="0.2">
      <c r="B10" s="39" t="s">
        <v>60</v>
      </c>
      <c r="C10" s="8"/>
      <c r="E10" s="56">
        <v>-5</v>
      </c>
      <c r="F10" s="36"/>
      <c r="G10" s="56">
        <v>133</v>
      </c>
      <c r="H10" s="36"/>
      <c r="I10" s="10">
        <v>-206</v>
      </c>
      <c r="K10" s="10">
        <v>-90</v>
      </c>
      <c r="M10" s="10">
        <v>-38</v>
      </c>
      <c r="N10" s="10">
        <v>-167</v>
      </c>
      <c r="O10" s="10">
        <v>-54</v>
      </c>
      <c r="P10" s="10">
        <v>260</v>
      </c>
      <c r="Q10" s="10">
        <f t="shared" ref="Q10:Q11" si="0">+M10+N10+O10+P10</f>
        <v>1</v>
      </c>
      <c r="S10" s="10">
        <v>-89</v>
      </c>
      <c r="T10" s="10">
        <v>21</v>
      </c>
      <c r="U10" s="10">
        <v>37</v>
      </c>
      <c r="V10" s="10">
        <v>-28</v>
      </c>
      <c r="W10" s="10">
        <f t="shared" ref="W10:W11" si="1">+S10+T10+U10+V10</f>
        <v>-59</v>
      </c>
    </row>
    <row r="11" spans="1:23" x14ac:dyDescent="0.2">
      <c r="B11" s="39" t="s">
        <v>27</v>
      </c>
      <c r="C11" s="8"/>
      <c r="E11" s="56">
        <f>150-36</f>
        <v>114</v>
      </c>
      <c r="F11" s="36"/>
      <c r="G11" s="56">
        <v>136</v>
      </c>
      <c r="H11" s="36"/>
      <c r="I11" s="10">
        <v>132</v>
      </c>
      <c r="K11" s="56">
        <v>160</v>
      </c>
      <c r="M11" s="56">
        <v>72</v>
      </c>
      <c r="N11" s="10">
        <v>59</v>
      </c>
      <c r="O11" s="56">
        <v>182</v>
      </c>
      <c r="P11" s="56">
        <v>160</v>
      </c>
      <c r="Q11" s="56">
        <f t="shared" si="0"/>
        <v>473</v>
      </c>
      <c r="S11" s="56">
        <v>178</v>
      </c>
      <c r="T11" s="10">
        <v>54</v>
      </c>
      <c r="U11" s="10">
        <v>103</v>
      </c>
      <c r="V11" s="10">
        <v>88</v>
      </c>
      <c r="W11" s="56">
        <f t="shared" si="1"/>
        <v>423</v>
      </c>
    </row>
    <row r="12" spans="1:23" ht="14.25" x14ac:dyDescent="0.2">
      <c r="B12" s="7" t="s">
        <v>52</v>
      </c>
      <c r="C12" s="8"/>
      <c r="E12" s="70">
        <f>SUM(E9:E11)</f>
        <v>4173</v>
      </c>
      <c r="F12" s="36"/>
      <c r="G12" s="70">
        <f>SUM(G9:G11)</f>
        <v>2403</v>
      </c>
      <c r="H12" s="36"/>
      <c r="I12" s="70">
        <f>SUM(I9:I11)</f>
        <v>1547</v>
      </c>
      <c r="K12" s="70">
        <f>SUM(K9:K11)</f>
        <v>2006</v>
      </c>
      <c r="M12" s="70">
        <f>SUM(M9:M11)</f>
        <v>609</v>
      </c>
      <c r="N12" s="70">
        <f>SUM(N9:N11)</f>
        <v>549</v>
      </c>
      <c r="O12" s="70">
        <f>SUM(O9:O11)</f>
        <v>828</v>
      </c>
      <c r="P12" s="70">
        <f>SUM(P9:P11)</f>
        <v>1078</v>
      </c>
      <c r="Q12" s="70">
        <f>SUM(Q9:Q11)</f>
        <v>3064</v>
      </c>
      <c r="S12" s="70">
        <f>SUM(S9:S11)</f>
        <v>690</v>
      </c>
      <c r="T12" s="70">
        <f>SUM(T9:T11)</f>
        <v>653</v>
      </c>
      <c r="U12" s="70">
        <f>SUM(U9:U11)</f>
        <v>681</v>
      </c>
      <c r="V12" s="70">
        <f>SUM(V9:V11)</f>
        <v>610</v>
      </c>
      <c r="W12" s="70">
        <f>SUM(W9:W11)</f>
        <v>2634</v>
      </c>
    </row>
    <row r="13" spans="1:23" ht="12.6" customHeight="1" x14ac:dyDescent="0.2">
      <c r="B13" s="7"/>
      <c r="C13" s="8"/>
      <c r="E13" s="25"/>
      <c r="G13" s="25"/>
      <c r="I13" s="25"/>
      <c r="K13" s="69"/>
      <c r="M13" s="25"/>
      <c r="N13" s="25"/>
      <c r="O13" s="69"/>
      <c r="P13" s="69"/>
      <c r="Q13" s="69"/>
      <c r="S13" s="25"/>
      <c r="T13" s="25"/>
      <c r="U13" s="25"/>
      <c r="V13" s="25"/>
      <c r="W13" s="69"/>
    </row>
    <row r="14" spans="1:23" x14ac:dyDescent="0.2">
      <c r="B14" s="1" t="s">
        <v>24</v>
      </c>
      <c r="C14" s="8"/>
      <c r="E14" s="25"/>
      <c r="G14" s="25"/>
      <c r="I14" s="25"/>
      <c r="K14" s="69"/>
      <c r="M14" s="25"/>
      <c r="N14" s="25"/>
      <c r="O14" s="69"/>
      <c r="P14" s="69"/>
      <c r="Q14" s="69"/>
      <c r="S14" s="25"/>
      <c r="T14" s="25"/>
      <c r="U14" s="25"/>
      <c r="V14" s="25"/>
      <c r="W14" s="69"/>
    </row>
    <row r="15" spans="1:23" x14ac:dyDescent="0.2">
      <c r="B15" s="39" t="s">
        <v>28</v>
      </c>
      <c r="C15" s="8"/>
      <c r="E15" s="10">
        <v>1057</v>
      </c>
      <c r="G15" s="10">
        <v>951</v>
      </c>
      <c r="I15" s="56">
        <v>800</v>
      </c>
      <c r="K15" s="56">
        <v>876</v>
      </c>
      <c r="M15" s="10">
        <v>212</v>
      </c>
      <c r="N15" s="10">
        <v>231</v>
      </c>
      <c r="O15" s="56">
        <v>236</v>
      </c>
      <c r="P15" s="56">
        <v>233</v>
      </c>
      <c r="Q15" s="56">
        <f t="shared" ref="Q15:Q21" si="2">+M15+N15+O15+P15</f>
        <v>912</v>
      </c>
      <c r="S15" s="10">
        <v>233</v>
      </c>
      <c r="T15" s="10">
        <v>230</v>
      </c>
      <c r="U15" s="10">
        <v>221</v>
      </c>
      <c r="V15" s="10">
        <v>211</v>
      </c>
      <c r="W15" s="56">
        <f t="shared" ref="W15:W21" si="3">+S15+T15+U15+V15</f>
        <v>895</v>
      </c>
    </row>
    <row r="16" spans="1:23" ht="14.25" x14ac:dyDescent="0.2">
      <c r="B16" s="39" t="s">
        <v>57</v>
      </c>
      <c r="C16" s="8"/>
      <c r="E16" s="10">
        <f>302-5</f>
        <v>297</v>
      </c>
      <c r="G16" s="10">
        <f>354-27</f>
        <v>327</v>
      </c>
      <c r="I16" s="56">
        <f>248-13</f>
        <v>235</v>
      </c>
      <c r="K16" s="56">
        <v>249</v>
      </c>
      <c r="M16" s="10">
        <v>63</v>
      </c>
      <c r="N16" s="10">
        <v>90</v>
      </c>
      <c r="O16" s="56">
        <v>81</v>
      </c>
      <c r="P16" s="56">
        <v>65</v>
      </c>
      <c r="Q16" s="56">
        <f t="shared" si="2"/>
        <v>299</v>
      </c>
      <c r="S16" s="10">
        <v>83</v>
      </c>
      <c r="T16" s="10">
        <v>79</v>
      </c>
      <c r="U16" s="10">
        <f>65+1</f>
        <v>66</v>
      </c>
      <c r="V16" s="10">
        <v>62</v>
      </c>
      <c r="W16" s="56">
        <f t="shared" si="3"/>
        <v>290</v>
      </c>
    </row>
    <row r="17" spans="2:23" x14ac:dyDescent="0.2">
      <c r="B17" s="39" t="s">
        <v>29</v>
      </c>
      <c r="C17" s="8"/>
      <c r="E17" s="10">
        <v>1198</v>
      </c>
      <c r="G17" s="10">
        <v>1004</v>
      </c>
      <c r="I17" s="56">
        <v>559</v>
      </c>
      <c r="K17" s="56">
        <v>544</v>
      </c>
      <c r="M17" s="10">
        <v>119</v>
      </c>
      <c r="N17" s="10">
        <v>125</v>
      </c>
      <c r="O17" s="56">
        <v>128</v>
      </c>
      <c r="P17" s="56">
        <v>130</v>
      </c>
      <c r="Q17" s="56">
        <f t="shared" si="2"/>
        <v>502</v>
      </c>
      <c r="S17" s="10">
        <v>118</v>
      </c>
      <c r="T17" s="10">
        <v>121</v>
      </c>
      <c r="U17" s="10">
        <v>118</v>
      </c>
      <c r="V17" s="10">
        <v>114</v>
      </c>
      <c r="W17" s="56">
        <f t="shared" si="3"/>
        <v>471</v>
      </c>
    </row>
    <row r="18" spans="2:23" x14ac:dyDescent="0.2">
      <c r="B18" s="39" t="s">
        <v>30</v>
      </c>
      <c r="C18" s="8"/>
      <c r="E18" s="10">
        <v>3402</v>
      </c>
      <c r="G18" s="10">
        <v>4852</v>
      </c>
      <c r="I18" s="56">
        <v>0</v>
      </c>
      <c r="K18" s="56">
        <v>0</v>
      </c>
      <c r="M18" s="10">
        <v>0</v>
      </c>
      <c r="N18" s="10">
        <v>0</v>
      </c>
      <c r="O18" s="56">
        <v>0</v>
      </c>
      <c r="P18" s="56">
        <v>0</v>
      </c>
      <c r="Q18" s="56">
        <f t="shared" si="2"/>
        <v>0</v>
      </c>
      <c r="S18" s="10">
        <v>0</v>
      </c>
      <c r="T18" s="10">
        <v>0</v>
      </c>
      <c r="U18" s="10">
        <v>0</v>
      </c>
      <c r="V18" s="10">
        <v>0</v>
      </c>
      <c r="W18" s="56">
        <f t="shared" si="3"/>
        <v>0</v>
      </c>
    </row>
    <row r="19" spans="2:23" x14ac:dyDescent="0.2">
      <c r="B19" s="39" t="s">
        <v>31</v>
      </c>
      <c r="C19" s="8"/>
      <c r="E19" s="10">
        <v>217</v>
      </c>
      <c r="G19" s="10">
        <v>180</v>
      </c>
      <c r="I19" s="56">
        <v>144</v>
      </c>
      <c r="K19" s="56">
        <v>136</v>
      </c>
      <c r="M19" s="10">
        <v>38</v>
      </c>
      <c r="N19" s="10">
        <v>37</v>
      </c>
      <c r="O19" s="10">
        <v>45</v>
      </c>
      <c r="P19" s="10">
        <v>29</v>
      </c>
      <c r="Q19" s="10">
        <f t="shared" si="2"/>
        <v>149</v>
      </c>
      <c r="S19" s="10">
        <v>41</v>
      </c>
      <c r="T19" s="10">
        <v>36</v>
      </c>
      <c r="U19" s="10">
        <v>42</v>
      </c>
      <c r="V19" s="10">
        <v>38</v>
      </c>
      <c r="W19" s="10">
        <f t="shared" si="3"/>
        <v>157</v>
      </c>
    </row>
    <row r="20" spans="2:23" x14ac:dyDescent="0.2">
      <c r="B20" s="39" t="s">
        <v>32</v>
      </c>
      <c r="C20" s="8"/>
      <c r="E20" s="10">
        <v>139</v>
      </c>
      <c r="G20" s="10">
        <v>36</v>
      </c>
      <c r="I20" s="56">
        <v>23</v>
      </c>
      <c r="K20" s="56">
        <v>22</v>
      </c>
      <c r="M20" s="10">
        <v>8</v>
      </c>
      <c r="N20" s="10">
        <v>6</v>
      </c>
      <c r="O20" s="10">
        <v>4</v>
      </c>
      <c r="P20" s="10">
        <v>16</v>
      </c>
      <c r="Q20" s="10">
        <f t="shared" si="2"/>
        <v>34</v>
      </c>
      <c r="S20" s="10">
        <v>10</v>
      </c>
      <c r="T20" s="10">
        <v>10</v>
      </c>
      <c r="U20" s="10">
        <v>5</v>
      </c>
      <c r="V20" s="10">
        <v>4</v>
      </c>
      <c r="W20" s="10">
        <f t="shared" si="3"/>
        <v>29</v>
      </c>
    </row>
    <row r="21" spans="2:23" ht="14.25" x14ac:dyDescent="0.2">
      <c r="B21" s="39" t="s">
        <v>54</v>
      </c>
      <c r="C21" s="8"/>
      <c r="E21" s="10">
        <v>207</v>
      </c>
      <c r="G21" s="10">
        <f>168-1</f>
        <v>167</v>
      </c>
      <c r="I21" s="56">
        <v>79</v>
      </c>
      <c r="K21" s="56">
        <v>106</v>
      </c>
      <c r="M21" s="10">
        <v>61</v>
      </c>
      <c r="N21" s="10">
        <v>49</v>
      </c>
      <c r="O21" s="10">
        <v>149</v>
      </c>
      <c r="P21" s="10">
        <v>140</v>
      </c>
      <c r="Q21" s="10">
        <f t="shared" si="2"/>
        <v>399</v>
      </c>
      <c r="S21" s="10">
        <v>148</v>
      </c>
      <c r="T21" s="10">
        <v>55</v>
      </c>
      <c r="U21" s="10">
        <f>82-1</f>
        <v>81</v>
      </c>
      <c r="V21" s="10">
        <f>83-4</f>
        <v>79</v>
      </c>
      <c r="W21" s="10">
        <f t="shared" si="3"/>
        <v>363</v>
      </c>
    </row>
    <row r="22" spans="2:23" x14ac:dyDescent="0.2">
      <c r="B22" s="7" t="s">
        <v>25</v>
      </c>
      <c r="C22" s="8"/>
      <c r="E22" s="9">
        <f>SUM(E15:E21)</f>
        <v>6517</v>
      </c>
      <c r="G22" s="9">
        <f>SUM(G15:G21)</f>
        <v>7517</v>
      </c>
      <c r="I22" s="9">
        <f>SUM(I15:I21)</f>
        <v>1840</v>
      </c>
      <c r="K22" s="9">
        <f>SUM(K15:K21)</f>
        <v>1933</v>
      </c>
      <c r="M22" s="9">
        <f>SUM(M15:M21)</f>
        <v>501</v>
      </c>
      <c r="N22" s="9">
        <f>SUM(N15:N21)</f>
        <v>538</v>
      </c>
      <c r="O22" s="9">
        <f>SUM(O15:O21)</f>
        <v>643</v>
      </c>
      <c r="P22" s="9">
        <f>SUM(P15:P21)</f>
        <v>613</v>
      </c>
      <c r="Q22" s="9">
        <f>SUM(Q15:Q21)</f>
        <v>2295</v>
      </c>
      <c r="S22" s="9">
        <f>SUM(S15:S21)</f>
        <v>633</v>
      </c>
      <c r="T22" s="9">
        <f>SUM(T15:T21)</f>
        <v>531</v>
      </c>
      <c r="U22" s="9">
        <f>SUM(U15:U21)</f>
        <v>533</v>
      </c>
      <c r="V22" s="9">
        <f>SUM(V15:V21)</f>
        <v>508</v>
      </c>
      <c r="W22" s="9">
        <f>SUM(W15:W21)</f>
        <v>2205</v>
      </c>
    </row>
    <row r="23" spans="2:23" ht="5.45" customHeight="1" x14ac:dyDescent="0.2">
      <c r="B23" s="7"/>
      <c r="C23" s="8"/>
      <c r="E23" s="25"/>
      <c r="G23" s="25"/>
      <c r="I23" s="25"/>
      <c r="K23" s="69"/>
      <c r="M23" s="25"/>
      <c r="N23" s="25"/>
      <c r="O23" s="25"/>
      <c r="P23" s="25"/>
      <c r="Q23" s="25"/>
      <c r="S23" s="25"/>
      <c r="T23" s="25"/>
      <c r="U23" s="25"/>
      <c r="V23" s="25"/>
      <c r="W23" s="25"/>
    </row>
    <row r="24" spans="2:23" x14ac:dyDescent="0.2">
      <c r="B24" s="1" t="s">
        <v>36</v>
      </c>
      <c r="C24" s="8"/>
      <c r="E24" s="18">
        <f>+E12-E22</f>
        <v>-2344</v>
      </c>
      <c r="F24" s="12"/>
      <c r="G24" s="18">
        <f>+G12-G22</f>
        <v>-5114</v>
      </c>
      <c r="H24" s="12"/>
      <c r="I24" s="18">
        <f>+I12-I22</f>
        <v>-293</v>
      </c>
      <c r="K24" s="18">
        <f>+K12-K22</f>
        <v>73</v>
      </c>
      <c r="M24" s="18">
        <f>+M12-M22</f>
        <v>108</v>
      </c>
      <c r="N24" s="18">
        <f>+N12-N22</f>
        <v>11</v>
      </c>
      <c r="O24" s="18">
        <f>+O12-O22</f>
        <v>185</v>
      </c>
      <c r="P24" s="18">
        <f>+P12-P22</f>
        <v>465</v>
      </c>
      <c r="Q24" s="18">
        <f>+Q12-Q22</f>
        <v>769</v>
      </c>
      <c r="S24" s="18">
        <f>+S12-S22</f>
        <v>57</v>
      </c>
      <c r="T24" s="18">
        <f>+T12-T22</f>
        <v>122</v>
      </c>
      <c r="U24" s="18">
        <f>+U12-U22</f>
        <v>148</v>
      </c>
      <c r="V24" s="18">
        <f>+V12-V22</f>
        <v>102</v>
      </c>
      <c r="W24" s="18">
        <f>+W12-W22</f>
        <v>429</v>
      </c>
    </row>
    <row r="25" spans="2:23" ht="4.1500000000000004" customHeight="1" x14ac:dyDescent="0.2">
      <c r="B25" s="7"/>
      <c r="C25" s="8"/>
      <c r="E25" s="25"/>
      <c r="G25" s="25"/>
      <c r="I25" s="25"/>
      <c r="K25" s="69"/>
      <c r="M25" s="25"/>
      <c r="N25" s="25"/>
      <c r="O25" s="25"/>
      <c r="P25" s="25"/>
      <c r="Q25" s="25"/>
      <c r="S25" s="25"/>
      <c r="T25" s="25"/>
      <c r="U25" s="25"/>
      <c r="V25" s="25"/>
      <c r="W25" s="25"/>
    </row>
    <row r="26" spans="2:23" ht="13.9" customHeight="1" x14ac:dyDescent="0.2">
      <c r="B26" s="1" t="s">
        <v>37</v>
      </c>
      <c r="C26" s="8"/>
      <c r="E26" s="25"/>
      <c r="G26" s="25"/>
      <c r="I26" s="25"/>
      <c r="K26" s="69"/>
      <c r="M26" s="25"/>
      <c r="N26" s="25"/>
      <c r="O26" s="25"/>
      <c r="P26" s="25"/>
      <c r="Q26" s="25"/>
      <c r="S26" s="25"/>
      <c r="T26" s="25"/>
      <c r="U26" s="25"/>
      <c r="V26" s="25"/>
      <c r="W26" s="25"/>
    </row>
    <row r="27" spans="2:23" ht="13.9" customHeight="1" x14ac:dyDescent="0.2">
      <c r="B27" s="74" t="s">
        <v>21</v>
      </c>
      <c r="C27" s="8"/>
      <c r="E27" s="10">
        <v>-72</v>
      </c>
      <c r="G27" s="10">
        <v>-326</v>
      </c>
      <c r="I27" s="10">
        <v>-328</v>
      </c>
      <c r="K27" s="56">
        <v>-343</v>
      </c>
      <c r="M27" s="10">
        <v>-92</v>
      </c>
      <c r="N27" s="10">
        <v>-94</v>
      </c>
      <c r="O27" s="10">
        <v>-95</v>
      </c>
      <c r="P27" s="10">
        <v>-98</v>
      </c>
      <c r="Q27" s="10">
        <f t="shared" ref="Q27:Q37" si="4">+M27+N27+O27+P27</f>
        <v>-379</v>
      </c>
      <c r="S27" s="10">
        <v>-100</v>
      </c>
      <c r="T27" s="10">
        <v>-98</v>
      </c>
      <c r="U27" s="10">
        <v>-95</v>
      </c>
      <c r="V27" s="10">
        <v>-90</v>
      </c>
      <c r="W27" s="10">
        <f t="shared" ref="W27:W37" si="5">+S27+T27+U27+V27</f>
        <v>-383</v>
      </c>
    </row>
    <row r="28" spans="2:23" ht="13.9" customHeight="1" x14ac:dyDescent="0.2">
      <c r="B28" s="74" t="s">
        <v>62</v>
      </c>
      <c r="C28" s="8"/>
      <c r="E28" s="10">
        <v>0</v>
      </c>
      <c r="G28" s="10">
        <v>20</v>
      </c>
      <c r="I28" s="10">
        <v>805</v>
      </c>
      <c r="K28" s="56">
        <v>4</v>
      </c>
      <c r="M28" s="10">
        <v>0</v>
      </c>
      <c r="N28" s="10">
        <v>24</v>
      </c>
      <c r="O28" s="10">
        <v>2</v>
      </c>
      <c r="P28" s="10">
        <v>31</v>
      </c>
      <c r="Q28" s="10">
        <f t="shared" si="4"/>
        <v>57</v>
      </c>
      <c r="S28" s="10">
        <v>6</v>
      </c>
      <c r="T28" s="10">
        <v>20</v>
      </c>
      <c r="U28" s="10">
        <v>82</v>
      </c>
      <c r="V28" s="10">
        <v>18</v>
      </c>
      <c r="W28" s="10">
        <f t="shared" si="5"/>
        <v>126</v>
      </c>
    </row>
    <row r="29" spans="2:23" ht="13.9" customHeight="1" x14ac:dyDescent="0.2">
      <c r="B29" s="74" t="s">
        <v>61</v>
      </c>
      <c r="C29" s="8"/>
      <c r="E29" s="10">
        <v>0</v>
      </c>
      <c r="G29" s="10">
        <v>0</v>
      </c>
      <c r="I29" s="10">
        <v>30</v>
      </c>
      <c r="K29" s="56">
        <v>21</v>
      </c>
      <c r="M29" s="10">
        <v>0</v>
      </c>
      <c r="N29" s="10">
        <v>1</v>
      </c>
      <c r="O29" s="56">
        <v>3</v>
      </c>
      <c r="P29" s="56">
        <f>1</f>
        <v>1</v>
      </c>
      <c r="Q29" s="56">
        <f t="shared" si="4"/>
        <v>5</v>
      </c>
      <c r="S29" s="10">
        <v>0</v>
      </c>
      <c r="T29" s="10">
        <v>0</v>
      </c>
      <c r="U29" s="10">
        <v>0</v>
      </c>
      <c r="V29" s="10">
        <v>0</v>
      </c>
      <c r="W29" s="56">
        <f t="shared" si="5"/>
        <v>0</v>
      </c>
    </row>
    <row r="30" spans="2:23" ht="13.9" customHeight="1" x14ac:dyDescent="0.2">
      <c r="B30" s="74" t="s">
        <v>58</v>
      </c>
      <c r="C30" s="8"/>
      <c r="E30" s="75">
        <v>-5</v>
      </c>
      <c r="G30" s="75">
        <f>-28-28</f>
        <v>-56</v>
      </c>
      <c r="I30" s="75">
        <v>-13</v>
      </c>
      <c r="K30" s="76">
        <v>-17</v>
      </c>
      <c r="M30" s="75">
        <v>-7</v>
      </c>
      <c r="N30" s="75">
        <v>-5</v>
      </c>
      <c r="O30" s="76">
        <v>-4</v>
      </c>
      <c r="P30" s="76">
        <v>-7</v>
      </c>
      <c r="Q30" s="76">
        <f t="shared" si="4"/>
        <v>-23</v>
      </c>
      <c r="S30" s="75">
        <v>-7</v>
      </c>
      <c r="T30" s="75">
        <v>-3</v>
      </c>
      <c r="U30" s="75">
        <v>-8</v>
      </c>
      <c r="V30" s="75">
        <f>-50-4</f>
        <v>-54</v>
      </c>
      <c r="W30" s="76">
        <f t="shared" si="5"/>
        <v>-72</v>
      </c>
    </row>
    <row r="31" spans="2:23" ht="14.65" customHeight="1" x14ac:dyDescent="0.2">
      <c r="B31" s="1" t="s">
        <v>33</v>
      </c>
      <c r="C31" s="8"/>
      <c r="E31" s="10">
        <f>+E24+E27+E28+E30+E29</f>
        <v>-2421</v>
      </c>
      <c r="G31" s="10">
        <f>+G24+G27+G28+G30+G29</f>
        <v>-5476</v>
      </c>
      <c r="I31" s="10">
        <f>+I24+I27+I28+I30+I29</f>
        <v>201</v>
      </c>
      <c r="K31" s="10">
        <f>+K24+K27+K28+K30+K29</f>
        <v>-262</v>
      </c>
      <c r="M31" s="10">
        <f>+M24+M27+M28+M30+M29</f>
        <v>9</v>
      </c>
      <c r="N31" s="10">
        <f>+N24+N27+N28+N30+N29</f>
        <v>-63</v>
      </c>
      <c r="O31" s="10">
        <f>+O24+O27+O28+O30+O29</f>
        <v>91</v>
      </c>
      <c r="P31" s="10">
        <f>+P24+P27+P28+P30+P29</f>
        <v>392</v>
      </c>
      <c r="Q31" s="10">
        <f>+Q24+Q27+Q28+Q30+Q29</f>
        <v>429</v>
      </c>
      <c r="S31" s="10">
        <f>+S24+S27+S28+S30+S29</f>
        <v>-44</v>
      </c>
      <c r="T31" s="10">
        <f>+T24+T27+T28+T30+T29</f>
        <v>41</v>
      </c>
      <c r="U31" s="10">
        <f>+U24+U27+U28+U30+U29</f>
        <v>127</v>
      </c>
      <c r="V31" s="10">
        <f>+V24+V27+V28+V30+V29</f>
        <v>-24</v>
      </c>
      <c r="W31" s="10">
        <f>+W24+W27+W28+W30+W29</f>
        <v>100</v>
      </c>
    </row>
    <row r="32" spans="2:23" ht="14.65" customHeight="1" x14ac:dyDescent="0.2">
      <c r="B32" s="39" t="s">
        <v>76</v>
      </c>
      <c r="C32" s="8"/>
      <c r="E32" s="10">
        <v>987</v>
      </c>
      <c r="G32" s="10">
        <v>1922</v>
      </c>
      <c r="I32" s="10">
        <v>78</v>
      </c>
      <c r="K32" s="56">
        <v>0</v>
      </c>
      <c r="M32" s="10">
        <v>0</v>
      </c>
      <c r="N32" s="10">
        <v>0</v>
      </c>
      <c r="O32" s="56">
        <v>0</v>
      </c>
      <c r="P32" s="56">
        <v>0</v>
      </c>
      <c r="Q32" s="56">
        <f t="shared" si="4"/>
        <v>0</v>
      </c>
      <c r="S32" s="10">
        <v>0</v>
      </c>
      <c r="T32" s="10">
        <v>0</v>
      </c>
      <c r="U32" s="10">
        <v>0</v>
      </c>
      <c r="V32" s="10">
        <v>-1</v>
      </c>
      <c r="W32" s="56">
        <f t="shared" si="5"/>
        <v>-1</v>
      </c>
    </row>
    <row r="33" spans="1:26" s="11" customFormat="1" ht="14.65" customHeight="1" x14ac:dyDescent="0.2">
      <c r="B33" s="1" t="s">
        <v>34</v>
      </c>
      <c r="C33" s="31"/>
      <c r="D33" s="30"/>
      <c r="E33" s="19">
        <f>+E31+E32</f>
        <v>-1434</v>
      </c>
      <c r="F33" s="35"/>
      <c r="G33" s="19">
        <f>+G31+G32</f>
        <v>-3554</v>
      </c>
      <c r="H33" s="35"/>
      <c r="I33" s="19">
        <f>+I31+I32</f>
        <v>279</v>
      </c>
      <c r="J33" s="78"/>
      <c r="K33" s="19">
        <f>+K31+K32</f>
        <v>-262</v>
      </c>
      <c r="M33" s="19">
        <f>+M31+M32</f>
        <v>9</v>
      </c>
      <c r="N33" s="19">
        <f t="shared" ref="N33:Q33" si="6">+N31+N32</f>
        <v>-63</v>
      </c>
      <c r="O33" s="19">
        <f t="shared" si="6"/>
        <v>91</v>
      </c>
      <c r="P33" s="19">
        <f t="shared" si="6"/>
        <v>392</v>
      </c>
      <c r="Q33" s="19">
        <f t="shared" si="6"/>
        <v>429</v>
      </c>
      <c r="S33" s="19">
        <f>+S31+S32</f>
        <v>-44</v>
      </c>
      <c r="T33" s="19">
        <f>+T31+T32</f>
        <v>41</v>
      </c>
      <c r="U33" s="19">
        <f>+U31+U32</f>
        <v>127</v>
      </c>
      <c r="V33" s="19">
        <f>+V31+V32</f>
        <v>-25</v>
      </c>
      <c r="W33" s="19">
        <f t="shared" ref="W33" si="7">+W31+W32</f>
        <v>99</v>
      </c>
    </row>
    <row r="34" spans="1:26" s="11" customFormat="1" ht="3.6" customHeight="1" x14ac:dyDescent="0.2">
      <c r="B34" s="1"/>
      <c r="C34" s="31"/>
      <c r="D34" s="30"/>
      <c r="E34" s="18"/>
      <c r="F34" s="35"/>
      <c r="G34" s="18"/>
      <c r="H34" s="35"/>
      <c r="I34" s="18"/>
      <c r="J34" s="78"/>
      <c r="K34" s="18"/>
      <c r="M34" s="18"/>
      <c r="N34" s="18"/>
      <c r="O34" s="18"/>
      <c r="P34" s="18"/>
      <c r="Q34" s="18"/>
      <c r="S34" s="18"/>
      <c r="T34" s="18"/>
      <c r="U34" s="18"/>
      <c r="V34" s="18"/>
      <c r="W34" s="18"/>
    </row>
    <row r="35" spans="1:26" s="11" customFormat="1" ht="14.65" customHeight="1" x14ac:dyDescent="0.2">
      <c r="B35" s="95" t="s">
        <v>74</v>
      </c>
      <c r="C35" s="31"/>
      <c r="D35" s="30"/>
      <c r="E35" s="18"/>
      <c r="F35" s="12"/>
      <c r="G35" s="18"/>
      <c r="H35" s="12"/>
      <c r="I35" s="18"/>
      <c r="J35"/>
      <c r="K35" s="18"/>
      <c r="M35" s="18"/>
      <c r="N35" s="41"/>
      <c r="O35" s="18"/>
      <c r="P35" s="18"/>
      <c r="Q35" s="18"/>
      <c r="R35" s="78"/>
      <c r="S35" s="18"/>
      <c r="T35" s="41"/>
      <c r="U35" s="41"/>
      <c r="V35" s="41"/>
      <c r="W35" s="18"/>
    </row>
    <row r="36" spans="1:26" s="11" customFormat="1" ht="14.65" customHeight="1" x14ac:dyDescent="0.2">
      <c r="B36" s="80" t="s">
        <v>72</v>
      </c>
      <c r="C36" s="31"/>
      <c r="D36" s="30"/>
      <c r="E36" s="18">
        <v>0</v>
      </c>
      <c r="F36"/>
      <c r="G36" s="18">
        <v>0</v>
      </c>
      <c r="H36"/>
      <c r="I36" s="18">
        <v>0</v>
      </c>
      <c r="J36"/>
      <c r="K36" s="18">
        <v>0</v>
      </c>
      <c r="M36" s="18">
        <v>-14</v>
      </c>
      <c r="N36" s="41">
        <v>-29</v>
      </c>
      <c r="O36" s="18">
        <v>-28</v>
      </c>
      <c r="P36" s="18">
        <v>-28</v>
      </c>
      <c r="Q36" s="10">
        <f t="shared" si="4"/>
        <v>-99</v>
      </c>
      <c r="S36" s="18">
        <v>-28</v>
      </c>
      <c r="T36" s="41">
        <v>-29</v>
      </c>
      <c r="U36" s="41">
        <v>-30</v>
      </c>
      <c r="V36" s="41">
        <v>-30</v>
      </c>
      <c r="W36" s="10">
        <f t="shared" si="5"/>
        <v>-117</v>
      </c>
    </row>
    <row r="37" spans="1:26" s="11" customFormat="1" ht="14.65" customHeight="1" x14ac:dyDescent="0.2">
      <c r="B37" s="80" t="s">
        <v>73</v>
      </c>
      <c r="C37" s="31"/>
      <c r="D37" s="30"/>
      <c r="E37" s="18">
        <v>0</v>
      </c>
      <c r="F37"/>
      <c r="G37" s="18">
        <v>0</v>
      </c>
      <c r="H37"/>
      <c r="I37" s="18">
        <v>0</v>
      </c>
      <c r="J37"/>
      <c r="K37" s="18">
        <v>-4</v>
      </c>
      <c r="M37" s="18">
        <v>3</v>
      </c>
      <c r="N37" s="41">
        <v>10</v>
      </c>
      <c r="O37" s="18">
        <v>3</v>
      </c>
      <c r="P37" s="18">
        <v>-18</v>
      </c>
      <c r="Q37" s="10">
        <f t="shared" si="4"/>
        <v>-2</v>
      </c>
      <c r="S37" s="75">
        <v>5</v>
      </c>
      <c r="T37" s="90">
        <v>0</v>
      </c>
      <c r="U37" s="90">
        <v>-3</v>
      </c>
      <c r="V37" s="90">
        <f>-6-6</f>
        <v>-12</v>
      </c>
      <c r="W37" s="10">
        <f t="shared" si="5"/>
        <v>-10</v>
      </c>
    </row>
    <row r="38" spans="1:26" s="11" customFormat="1" ht="14.65" customHeight="1" x14ac:dyDescent="0.2">
      <c r="B38" s="80" t="s">
        <v>75</v>
      </c>
      <c r="C38" s="31"/>
      <c r="D38" s="30"/>
      <c r="E38" s="19">
        <f>SUM(E36:E37)</f>
        <v>0</v>
      </c>
      <c r="F38"/>
      <c r="G38" s="19">
        <f>SUM(G36:G37)</f>
        <v>0</v>
      </c>
      <c r="H38"/>
      <c r="I38" s="19">
        <f>SUM(I36:I37)</f>
        <v>0</v>
      </c>
      <c r="J38"/>
      <c r="K38" s="19">
        <f>SUM(K36:K37)</f>
        <v>-4</v>
      </c>
      <c r="M38" s="19">
        <f>SUM(M36:M37)</f>
        <v>-11</v>
      </c>
      <c r="N38" s="19">
        <f>SUM(N36:N37)</f>
        <v>-19</v>
      </c>
      <c r="O38" s="19">
        <f>SUM(O36:O37)</f>
        <v>-25</v>
      </c>
      <c r="P38" s="19">
        <f>SUM(P36:P37)</f>
        <v>-46</v>
      </c>
      <c r="Q38" s="19">
        <f>SUM(Q36:Q37)</f>
        <v>-101</v>
      </c>
      <c r="S38" s="18">
        <f>SUM(S36:S37)</f>
        <v>-23</v>
      </c>
      <c r="T38" s="18">
        <f>SUM(T36:T37)</f>
        <v>-29</v>
      </c>
      <c r="U38" s="18">
        <f>SUM(U36:U37)</f>
        <v>-33</v>
      </c>
      <c r="V38" s="18">
        <f>SUM(V36:V37)</f>
        <v>-42</v>
      </c>
      <c r="W38" s="19">
        <f>SUM(W36:W37)</f>
        <v>-127</v>
      </c>
    </row>
    <row r="39" spans="1:26" s="11" customFormat="1" ht="4.1500000000000004" customHeight="1" x14ac:dyDescent="0.2">
      <c r="B39" s="80"/>
      <c r="C39" s="31"/>
      <c r="D39" s="30"/>
      <c r="E39" s="18"/>
      <c r="F39"/>
      <c r="G39" s="18"/>
      <c r="H39"/>
      <c r="I39" s="18"/>
      <c r="J39"/>
      <c r="K39" s="18"/>
      <c r="M39" s="18"/>
      <c r="N39" s="41"/>
      <c r="O39" s="18"/>
      <c r="P39" s="18"/>
      <c r="Q39" s="18"/>
      <c r="S39" s="18"/>
      <c r="T39" s="41"/>
      <c r="U39" s="41"/>
      <c r="V39" s="41"/>
      <c r="W39" s="18"/>
    </row>
    <row r="40" spans="1:26" ht="14.65" customHeight="1" thickBot="1" x14ac:dyDescent="0.25">
      <c r="B40" s="1" t="s">
        <v>35</v>
      </c>
      <c r="E40" s="79">
        <f>+E33+E38</f>
        <v>-1434</v>
      </c>
      <c r="G40" s="79">
        <f>+G33+G38</f>
        <v>-3554</v>
      </c>
      <c r="I40" s="79">
        <f>+I33+I38</f>
        <v>279</v>
      </c>
      <c r="K40" s="79">
        <f>+K33+K38</f>
        <v>-266</v>
      </c>
      <c r="M40" s="79">
        <f>+M33+M38</f>
        <v>-2</v>
      </c>
      <c r="N40" s="79">
        <f>+N33+N38</f>
        <v>-82</v>
      </c>
      <c r="O40" s="79">
        <f>+O33+O38</f>
        <v>66</v>
      </c>
      <c r="P40" s="79">
        <f>+P33+P38</f>
        <v>346</v>
      </c>
      <c r="Q40" s="79">
        <f>+Q33+Q38</f>
        <v>328</v>
      </c>
      <c r="S40" s="79">
        <f>+S33+S38</f>
        <v>-67</v>
      </c>
      <c r="T40" s="79">
        <f>+T33+T38</f>
        <v>12</v>
      </c>
      <c r="U40" s="79">
        <f>+U33+U38</f>
        <v>94</v>
      </c>
      <c r="V40" s="79">
        <f>+V33+V38</f>
        <v>-67</v>
      </c>
      <c r="W40" s="79">
        <f>+W33+W38</f>
        <v>-28</v>
      </c>
    </row>
    <row r="41" spans="1:26" ht="13.5" thickTop="1" x14ac:dyDescent="0.2">
      <c r="C41" s="12"/>
      <c r="E41" s="12"/>
      <c r="G41" s="32"/>
      <c r="O41" s="36"/>
      <c r="U41" s="36"/>
    </row>
    <row r="42" spans="1:26" x14ac:dyDescent="0.2">
      <c r="M42" s="11"/>
      <c r="N42" s="11"/>
      <c r="O42" s="36"/>
      <c r="S42" s="11"/>
      <c r="T42" s="11"/>
      <c r="U42" s="36"/>
    </row>
    <row r="43" spans="1:26" ht="16.5" thickBot="1" x14ac:dyDescent="0.3">
      <c r="B43" s="26" t="s">
        <v>53</v>
      </c>
      <c r="C43" s="28"/>
      <c r="D43" s="44"/>
      <c r="E43" s="44"/>
      <c r="F43" s="44"/>
      <c r="G43" s="44"/>
      <c r="H43" s="28"/>
      <c r="I43" s="28"/>
      <c r="J43" s="28"/>
      <c r="K43" s="28"/>
      <c r="L43" s="28"/>
      <c r="M43" s="28"/>
      <c r="N43" s="28"/>
      <c r="O43" s="44"/>
      <c r="P43" s="28"/>
      <c r="Q43" s="28"/>
      <c r="R43" s="28"/>
      <c r="S43" s="28"/>
      <c r="T43" s="28"/>
      <c r="U43" s="44"/>
      <c r="V43" s="28"/>
      <c r="W43" s="28"/>
    </row>
    <row r="44" spans="1:26" ht="4.5" customHeight="1" thickTop="1" x14ac:dyDescent="0.25">
      <c r="B44" s="51"/>
      <c r="C44" s="12"/>
      <c r="D44" s="52"/>
      <c r="E44" s="52"/>
      <c r="F44" s="52"/>
      <c r="G44" s="52"/>
      <c r="H44" s="12"/>
      <c r="I44" s="12"/>
      <c r="K44" s="12"/>
      <c r="M44" s="12"/>
      <c r="N44" s="12"/>
      <c r="O44" s="52"/>
      <c r="P44" s="12"/>
      <c r="Q44" s="12"/>
      <c r="S44" s="12"/>
      <c r="T44" s="12"/>
      <c r="U44" s="52"/>
      <c r="V44" s="12"/>
      <c r="W44" s="12"/>
    </row>
    <row r="45" spans="1:26" ht="15.75" x14ac:dyDescent="0.25">
      <c r="B45" s="51"/>
      <c r="C45" s="12"/>
      <c r="E45" s="33">
        <v>2014</v>
      </c>
      <c r="F45" s="89" t="s">
        <v>49</v>
      </c>
      <c r="G45" s="33">
        <v>2015</v>
      </c>
      <c r="I45" s="33">
        <v>2016</v>
      </c>
      <c r="K45" s="33">
        <f>+K7</f>
        <v>2017</v>
      </c>
      <c r="M45" s="33" t="str">
        <f>+M7</f>
        <v>1Q 2018</v>
      </c>
      <c r="N45" s="33" t="str">
        <f>+N7</f>
        <v>2Q 2018</v>
      </c>
      <c r="O45" s="33" t="str">
        <f>+O7</f>
        <v>3Q 2018</v>
      </c>
      <c r="P45" s="33" t="str">
        <f>+P7</f>
        <v>4Q 2018</v>
      </c>
      <c r="Q45" s="33" t="str">
        <f>+Q7</f>
        <v>Total</v>
      </c>
      <c r="S45" s="33" t="str">
        <f>+S7</f>
        <v>1Q 2019</v>
      </c>
      <c r="T45" s="33" t="str">
        <f>+T7</f>
        <v>2Q 2019</v>
      </c>
      <c r="U45" s="33" t="str">
        <f>+U7</f>
        <v>3Q 2019</v>
      </c>
      <c r="V45" s="33" t="str">
        <f>+V7</f>
        <v>4Q 2019</v>
      </c>
      <c r="W45" s="33" t="str">
        <f>+W7</f>
        <v>Total</v>
      </c>
    </row>
    <row r="46" spans="1:26" x14ac:dyDescent="0.2">
      <c r="A46" t="s">
        <v>22</v>
      </c>
      <c r="B46" s="1" t="s">
        <v>26</v>
      </c>
      <c r="C46" s="2"/>
      <c r="E46" s="36"/>
      <c r="G46" s="36"/>
      <c r="O46" s="36"/>
      <c r="U46" s="36"/>
    </row>
    <row r="47" spans="1:26" x14ac:dyDescent="0.2">
      <c r="B47" s="39" t="s">
        <v>51</v>
      </c>
      <c r="C47" s="8"/>
      <c r="E47" s="47">
        <f>E9/(E94)*1000</f>
        <v>70.076214780839393</v>
      </c>
      <c r="G47" s="63">
        <f>G9/(G94)*1000</f>
        <v>36.566767765040524</v>
      </c>
      <c r="I47" s="47">
        <f>I9/(I94)*1000</f>
        <v>31.630502653762097</v>
      </c>
      <c r="K47" s="47">
        <f>K9/(K94)*1000</f>
        <v>41.193242265628321</v>
      </c>
      <c r="M47" s="47">
        <f>M9/(M93)*1000</f>
        <v>51.764494058336339</v>
      </c>
      <c r="N47" s="47">
        <f>N9/(N93)*1000</f>
        <v>53.852459016393439</v>
      </c>
      <c r="O47" s="47">
        <f>O9/(O93)*1000</f>
        <v>56.125721616420783</v>
      </c>
      <c r="P47" s="47">
        <f>P9/(P93)*1000</f>
        <v>52.54751637118671</v>
      </c>
      <c r="Q47" s="47">
        <f>Q9/(Q93)*1000</f>
        <v>53.620968075856069</v>
      </c>
      <c r="S47" s="47">
        <f>S9/(S93)*1000</f>
        <v>50.18370073480294</v>
      </c>
      <c r="T47" s="47">
        <f>T9/(T93)*1000</f>
        <v>49.308991639651936</v>
      </c>
      <c r="U47" s="47">
        <f>U9/(U93)*1000</f>
        <v>46.073922670754563</v>
      </c>
      <c r="V47" s="47">
        <f>V9/(V93)*1000</f>
        <v>48.65964788109352</v>
      </c>
      <c r="W47" s="47">
        <f>W9/(W93)*1000</f>
        <v>48.5925291662207</v>
      </c>
      <c r="X47" s="91"/>
      <c r="Y47" s="91"/>
      <c r="Z47" s="91"/>
    </row>
    <row r="48" spans="1:26" x14ac:dyDescent="0.2">
      <c r="B48" s="39" t="s">
        <v>60</v>
      </c>
      <c r="C48" s="8"/>
      <c r="E48" s="73">
        <f>E10/(E94)*1000</f>
        <v>-8.621581542918233E-2</v>
      </c>
      <c r="F48" s="34"/>
      <c r="G48" s="73">
        <f>G10/(G94)*1000</f>
        <v>2.2789972412138657</v>
      </c>
      <c r="H48" s="34"/>
      <c r="I48" s="73">
        <f>I10/(I94)*1000</f>
        <v>-4.0196690602560103</v>
      </c>
      <c r="K48" s="73">
        <f>K10/(K94)*1000</f>
        <v>-1.9149751053236308</v>
      </c>
      <c r="M48" s="73">
        <f>M10/(M93)*1000</f>
        <v>-3.4209578682030966</v>
      </c>
      <c r="N48" s="73">
        <f>N10/(N93)*1000</f>
        <v>-13.688524590163935</v>
      </c>
      <c r="O48" s="73">
        <f>O10/(O93)*1000</f>
        <v>-4.329698524695317</v>
      </c>
      <c r="P48" s="73">
        <f>P10/(P93)*1000</f>
        <v>20.763456316882287</v>
      </c>
      <c r="Q48" s="73">
        <f>Q10/(Q93)*1000</f>
        <v>2.0703076477164507E-2</v>
      </c>
      <c r="S48" s="73">
        <f>S10/(S93)*1000</f>
        <v>-7.4315297261189048</v>
      </c>
      <c r="T48" s="73">
        <f>T10/(T93)*1000</f>
        <v>1.7915031564579424</v>
      </c>
      <c r="U48" s="73">
        <f>U10/(U93)*1000</f>
        <v>3.1510815874638052</v>
      </c>
      <c r="V48" s="73">
        <f>V10/(V93)*1000</f>
        <v>-2.4772184375829429</v>
      </c>
      <c r="W48" s="73">
        <f>W10/(W93)*1000</f>
        <v>-1.2629776303114633</v>
      </c>
      <c r="X48" s="57"/>
      <c r="Y48" s="57"/>
      <c r="Z48" s="57"/>
    </row>
    <row r="49" spans="2:27" x14ac:dyDescent="0.2">
      <c r="B49" s="39" t="s">
        <v>27</v>
      </c>
      <c r="C49" s="8"/>
      <c r="E49" s="49">
        <f>E11/(E94)*1000</f>
        <v>1.9657205917853571</v>
      </c>
      <c r="G49" s="71">
        <f>G11/(G94)*1000</f>
        <v>2.3304031940232011</v>
      </c>
      <c r="I49" s="49">
        <f>I11/(I94)*1000</f>
        <v>2.5757102716203555</v>
      </c>
      <c r="K49" s="49">
        <f>K11/(K94)*1000</f>
        <v>3.4044001872420102</v>
      </c>
      <c r="M49" s="49">
        <f>M11/(M93)*1000</f>
        <v>6.4818149081742886</v>
      </c>
      <c r="N49" s="49">
        <f>N11/(N93)*1000</f>
        <v>4.8360655737704921</v>
      </c>
      <c r="O49" s="49">
        <f>O11/(O93)*1000</f>
        <v>14.592687620269404</v>
      </c>
      <c r="P49" s="49">
        <f>P11/(P93)*1000</f>
        <v>12.777511579619869</v>
      </c>
      <c r="Q49" s="49">
        <f>Q11/(Q93)*1000</f>
        <v>9.7925551736988119</v>
      </c>
      <c r="S49" s="49">
        <f>S11/(S93)*1000+0.01</f>
        <v>14.873059452237809</v>
      </c>
      <c r="T49" s="49">
        <f>T11/(T93)*1000</f>
        <v>4.6067224023204236</v>
      </c>
      <c r="U49" s="49">
        <f>U11/(U93)*1000</f>
        <v>8.7719298245614024</v>
      </c>
      <c r="V49" s="49">
        <f>V11/(V93)*1000</f>
        <v>7.7855436609749624</v>
      </c>
      <c r="W49" s="49">
        <f>W11/(W93)*1000</f>
        <v>9.0549074173177786</v>
      </c>
      <c r="X49" s="57"/>
      <c r="Y49" s="57"/>
      <c r="Z49" s="57"/>
    </row>
    <row r="50" spans="2:27" ht="14.25" x14ac:dyDescent="0.2">
      <c r="B50" s="7" t="s">
        <v>52</v>
      </c>
      <c r="C50" s="8"/>
      <c r="E50" s="48">
        <f>SUM(E47:E49)</f>
        <v>71.955719557195565</v>
      </c>
      <c r="G50" s="57">
        <f>SUM(G47:G49)</f>
        <v>41.176168200277587</v>
      </c>
      <c r="I50" s="48">
        <f>SUM(I47:I49)</f>
        <v>30.186543865126442</v>
      </c>
      <c r="J50" s="58"/>
      <c r="K50" s="48">
        <f>SUM(K47:K49)</f>
        <v>42.682667347546705</v>
      </c>
      <c r="M50" s="48">
        <f>SUM(M47:M49)-0.01</f>
        <v>54.815351098307531</v>
      </c>
      <c r="N50" s="48">
        <f>SUM(N47:N49)</f>
        <v>44.999999999999993</v>
      </c>
      <c r="O50" s="48">
        <f>SUM(O47:O49)</f>
        <v>66.388710711994875</v>
      </c>
      <c r="P50" s="48">
        <f>SUM(P47:P49)</f>
        <v>86.08848426768887</v>
      </c>
      <c r="Q50" s="48">
        <f>SUM(Q47:Q49)</f>
        <v>63.434226326032046</v>
      </c>
      <c r="S50" s="48">
        <f>SUM(S47:S49)-0.01</f>
        <v>57.61523046092185</v>
      </c>
      <c r="T50" s="48">
        <f>SUM(T47:T49)</f>
        <v>55.7072171984303</v>
      </c>
      <c r="U50" s="57">
        <f>SUM(U47:U49)-0.01</f>
        <v>57.986934082779776</v>
      </c>
      <c r="V50" s="57">
        <f>SUM(V47:V49)</f>
        <v>53.967973104485537</v>
      </c>
      <c r="W50" s="57">
        <f>SUM(W47:W49)</f>
        <v>56.384458953227018</v>
      </c>
      <c r="X50" s="57"/>
      <c r="Y50" s="57"/>
      <c r="Z50" s="57"/>
    </row>
    <row r="51" spans="2:27" ht="11.45" customHeight="1" x14ac:dyDescent="0.2">
      <c r="B51" s="7"/>
      <c r="C51" s="8"/>
      <c r="E51" s="34"/>
      <c r="G51" s="34"/>
      <c r="I51" s="72"/>
      <c r="K51" s="34"/>
      <c r="M51" s="34"/>
      <c r="N51" s="34"/>
      <c r="O51" s="34"/>
      <c r="P51" s="34"/>
      <c r="Q51" s="34"/>
      <c r="S51" s="34"/>
      <c r="T51" s="34"/>
      <c r="U51" s="72"/>
      <c r="V51" s="72"/>
      <c r="W51" s="72"/>
      <c r="X51" s="92"/>
      <c r="Y51" s="92"/>
      <c r="Z51" s="92"/>
    </row>
    <row r="52" spans="2:27" x14ac:dyDescent="0.2">
      <c r="B52" s="1" t="s">
        <v>24</v>
      </c>
      <c r="C52" s="8"/>
      <c r="E52" s="34"/>
      <c r="G52" s="34"/>
      <c r="I52" s="34"/>
      <c r="K52" s="34"/>
      <c r="M52" s="34"/>
      <c r="N52" s="34"/>
      <c r="O52" s="34"/>
      <c r="P52" s="34"/>
      <c r="Q52" s="34"/>
      <c r="S52" s="34"/>
      <c r="T52" s="34"/>
      <c r="U52" s="72"/>
      <c r="V52" s="72"/>
      <c r="W52" s="72"/>
      <c r="X52" s="92"/>
      <c r="Y52" s="92"/>
      <c r="Z52" s="92"/>
    </row>
    <row r="53" spans="2:27" x14ac:dyDescent="0.2">
      <c r="B53" s="39" t="s">
        <v>28</v>
      </c>
      <c r="C53" s="8"/>
      <c r="E53" s="48">
        <f>E15/(E94)*1000</f>
        <v>18.226023381729146</v>
      </c>
      <c r="G53" s="57">
        <f>G15/(G94)*1000</f>
        <v>16.295687040559294</v>
      </c>
      <c r="I53" s="48">
        <f>I15/(I94)*1000</f>
        <v>15.610365282547612</v>
      </c>
      <c r="K53" s="48">
        <f>K15/(K94)*1000</f>
        <v>18.639091025150009</v>
      </c>
      <c r="M53" s="48">
        <f>M15/(M93)*1000-0.01</f>
        <v>19.07534389629096</v>
      </c>
      <c r="N53" s="48">
        <f>N15/(N93)*1000</f>
        <v>18.934426229508198</v>
      </c>
      <c r="O53" s="48">
        <f>O15/(O93)*1000</f>
        <v>18.922386144964719</v>
      </c>
      <c r="P53" s="48">
        <f>P15/(P93)*1000</f>
        <v>18.607251237821433</v>
      </c>
      <c r="Q53" s="48">
        <f>Q15/(Q93)*1000</f>
        <v>18.881205747174029</v>
      </c>
      <c r="S53" s="48">
        <f>S15/(S93)*1000</f>
        <v>19.455577822311291</v>
      </c>
      <c r="T53" s="48">
        <f>T15/(T93)*1000</f>
        <v>19.621225046920323</v>
      </c>
      <c r="U53" s="57">
        <f>U15/(U93)*1000</f>
        <v>18.821325157554082</v>
      </c>
      <c r="V53" s="57">
        <f>V15/(V93)*1000</f>
        <v>18.667610368928603</v>
      </c>
      <c r="W53" s="57">
        <f>W15/(W93)*1000</f>
        <v>19.158728459809481</v>
      </c>
      <c r="X53" s="93"/>
      <c r="Y53" s="57"/>
      <c r="Z53" s="57"/>
      <c r="AA53" s="34"/>
    </row>
    <row r="54" spans="2:27" ht="14.25" x14ac:dyDescent="0.2">
      <c r="B54" s="39" t="s">
        <v>57</v>
      </c>
      <c r="C54" s="8"/>
      <c r="E54" s="48">
        <f>E16/(E94)*1000</f>
        <v>5.1212194364934307</v>
      </c>
      <c r="G54" s="57">
        <f>G16/(G94)*1000</f>
        <v>5.60324885621755</v>
      </c>
      <c r="I54" s="48">
        <f>I16/(I94)*1000</f>
        <v>4.5855448017483607</v>
      </c>
      <c r="K54" s="48">
        <f>K16/(K94)*1000</f>
        <v>5.2980977913953788</v>
      </c>
      <c r="M54" s="48">
        <f>M16/(M93)*1000</f>
        <v>5.6715880446525029</v>
      </c>
      <c r="N54" s="48">
        <f>N16/(N93)*1000</f>
        <v>7.3770491803278695</v>
      </c>
      <c r="O54" s="48">
        <f>O16/(O93)*1000</f>
        <v>6.4945477870429764</v>
      </c>
      <c r="P54" s="48">
        <f>P16/(P93)*1000</f>
        <v>5.1908640792205718</v>
      </c>
      <c r="Q54" s="48">
        <f>Q16/(Q93)*1000</f>
        <v>6.1902198666721873</v>
      </c>
      <c r="S54" s="48">
        <f>S16/(S93)*1000</f>
        <v>6.9305277221108881</v>
      </c>
      <c r="T54" s="48">
        <f>T16/(T93)*1000</f>
        <v>6.7394642552465447</v>
      </c>
      <c r="U54" s="57">
        <f>U16/(U93)*1000</f>
        <v>5.6208482370975981</v>
      </c>
      <c r="V54" s="57">
        <f>V16/(V93)*1000</f>
        <v>5.4852693975050872</v>
      </c>
      <c r="W54" s="57">
        <f>W16/(W93)*1000</f>
        <v>6.2078561489885473</v>
      </c>
      <c r="X54" s="93"/>
      <c r="Y54" s="57"/>
      <c r="Z54" s="57"/>
    </row>
    <row r="55" spans="2:27" x14ac:dyDescent="0.2">
      <c r="B55" s="39" t="s">
        <v>29</v>
      </c>
      <c r="C55" s="8"/>
      <c r="E55" s="48">
        <f>E17/(E94)*1000</f>
        <v>20.657309376832085</v>
      </c>
      <c r="G55" s="57">
        <f>G17/(G94)*1000</f>
        <v>17.203858873524222</v>
      </c>
      <c r="I55" s="48">
        <f>I17/(I94)*1000</f>
        <v>10.907742741180144</v>
      </c>
      <c r="K55" s="48">
        <f>K17/(K94)*1000</f>
        <v>11.574960636622835</v>
      </c>
      <c r="M55" s="48">
        <f>M17/(M93)*1000</f>
        <v>10.712999639899172</v>
      </c>
      <c r="N55" s="48">
        <f>N17/(N93)*1000</f>
        <v>10.245901639344261</v>
      </c>
      <c r="O55" s="48">
        <f>O17/(O93)*1000</f>
        <v>10.262989095574085</v>
      </c>
      <c r="P55" s="48">
        <f>P17/(P93)*1000</f>
        <v>10.381728158441144</v>
      </c>
      <c r="Q55" s="48">
        <f>Q17/(Q93)*1000</f>
        <v>10.392944391536583</v>
      </c>
      <c r="S55" s="48">
        <f>S17/(S93)*1000</f>
        <v>9.8530394121576492</v>
      </c>
      <c r="T55" s="48">
        <f>T17/(T93)*1000</f>
        <v>10.322470568162428</v>
      </c>
      <c r="U55" s="57">
        <f>U17/(U93)*1000</f>
        <v>10.049395332992676</v>
      </c>
      <c r="V55" s="57">
        <f>V17/(V93)*1000</f>
        <v>10.085817924444838</v>
      </c>
      <c r="W55" s="57">
        <f>W17/(W93)*1000</f>
        <v>10.082414641977952</v>
      </c>
      <c r="X55" s="93"/>
      <c r="Y55" s="57"/>
      <c r="Z55" s="57"/>
    </row>
    <row r="56" spans="2:27" x14ac:dyDescent="0.2">
      <c r="B56" s="39" t="s">
        <v>30</v>
      </c>
      <c r="C56" s="8"/>
      <c r="E56" s="48">
        <f>ROUND(E18/(E94)*1000,2)</f>
        <v>58.66</v>
      </c>
      <c r="G56" s="57">
        <f>G18/(G93)*1000</f>
        <v>83.140561010298313</v>
      </c>
      <c r="I56" s="48">
        <v>0</v>
      </c>
      <c r="J56" s="57"/>
      <c r="K56" s="48">
        <v>0</v>
      </c>
      <c r="M56" s="48">
        <v>0</v>
      </c>
      <c r="N56" s="48">
        <v>0</v>
      </c>
      <c r="O56" s="48">
        <v>0</v>
      </c>
      <c r="P56" s="48">
        <v>0</v>
      </c>
      <c r="Q56" s="48">
        <v>0</v>
      </c>
      <c r="S56" s="48">
        <v>0</v>
      </c>
      <c r="T56" s="48">
        <v>0</v>
      </c>
      <c r="U56" s="57">
        <v>0</v>
      </c>
      <c r="V56" s="57">
        <v>0</v>
      </c>
      <c r="W56" s="57">
        <v>0</v>
      </c>
      <c r="X56" s="93"/>
      <c r="Y56" s="57"/>
      <c r="Z56" s="57"/>
    </row>
    <row r="57" spans="2:27" x14ac:dyDescent="0.2">
      <c r="B57" s="39" t="s">
        <v>31</v>
      </c>
      <c r="C57" s="8"/>
      <c r="E57" s="48">
        <f>E19/(E94)*1000</f>
        <v>3.741766389626513</v>
      </c>
      <c r="G57" s="57">
        <f>G19/(G94)*1000</f>
        <v>3.0843571685601194</v>
      </c>
      <c r="I57" s="48">
        <f>I19/(I94)*1000</f>
        <v>2.8098657508585703</v>
      </c>
      <c r="K57" s="48">
        <f>K19/(K94)*1000</f>
        <v>2.8937401591557088</v>
      </c>
      <c r="M57" s="48">
        <f>M19/(M93)*1000</f>
        <v>3.4209578682030966</v>
      </c>
      <c r="N57" s="48">
        <f>N19/(N93)*1000</f>
        <v>3.0327868852459017</v>
      </c>
      <c r="O57" s="48">
        <f>O19/(O93)*1000</f>
        <v>3.6080821039127646</v>
      </c>
      <c r="P57" s="48">
        <f>P19/(P93)*1000</f>
        <v>2.3159239738061013</v>
      </c>
      <c r="Q57" s="48">
        <f>Q19/(Q93)*1000</f>
        <v>3.0847583950975115</v>
      </c>
      <c r="S57" s="48">
        <f>S19/(S93)*1000</f>
        <v>3.4235136940547761</v>
      </c>
      <c r="T57" s="48">
        <f>T19/(T93)*1000</f>
        <v>3.0711482682136153</v>
      </c>
      <c r="U57" s="57">
        <f>U19/(U93)*1000</f>
        <v>3.5769034236075625</v>
      </c>
      <c r="V57" s="57">
        <f>V19/(V93)*1000</f>
        <v>3.3619393081482789</v>
      </c>
      <c r="W57" s="57">
        <f>W19/(W93)*1000</f>
        <v>3.3608048806593169</v>
      </c>
      <c r="X57" s="93"/>
      <c r="Y57" s="57"/>
      <c r="Z57" s="57"/>
    </row>
    <row r="58" spans="2:27" x14ac:dyDescent="0.2">
      <c r="B58" s="39" t="s">
        <v>32</v>
      </c>
      <c r="C58" s="8"/>
      <c r="E58" s="48">
        <f>E20/(E94)*1000</f>
        <v>2.3967996689312687</v>
      </c>
      <c r="G58" s="57">
        <f>G20/(G94)*1000</f>
        <v>0.6168714337120238</v>
      </c>
      <c r="I58" s="48">
        <f>I20/I94*1000</f>
        <v>0.44879800187324381</v>
      </c>
      <c r="K58" s="48">
        <f>K20/(K94)*1000</f>
        <v>0.46810502574577639</v>
      </c>
      <c r="M58" s="48">
        <f>M20/(M93)*1000</f>
        <v>0.72020165646380996</v>
      </c>
      <c r="N58" s="48">
        <f>N20/(N93)*1000</f>
        <v>0.49180327868852458</v>
      </c>
      <c r="O58" s="48">
        <f>O20/(O93)*1000</f>
        <v>0.32071840923669015</v>
      </c>
      <c r="P58" s="48">
        <f>P20/(P93)*1000</f>
        <v>1.2777511579619869</v>
      </c>
      <c r="Q58" s="48">
        <f>Q20/(Q93)*1000</f>
        <v>0.70390460022359325</v>
      </c>
      <c r="S58" s="48">
        <f>S20/(S93)*1000</f>
        <v>0.83500334001336007</v>
      </c>
      <c r="T58" s="48">
        <f>T20/(T93)*1000</f>
        <v>0.85309674117044876</v>
      </c>
      <c r="U58" s="57">
        <f>U20/(U93)*1000</f>
        <v>0.42582183614375746</v>
      </c>
      <c r="V58" s="57">
        <f>V20/(V93)*1000</f>
        <v>0.35388834822613469</v>
      </c>
      <c r="W58" s="57">
        <f>W20/(W93)*1000</f>
        <v>0.62078561489885475</v>
      </c>
      <c r="X58" s="93"/>
      <c r="Y58" s="57"/>
      <c r="Z58" s="57"/>
    </row>
    <row r="59" spans="2:27" ht="14.25" x14ac:dyDescent="0.2">
      <c r="B59" s="39" t="s">
        <v>54</v>
      </c>
      <c r="C59" s="8"/>
      <c r="E59" s="49">
        <f>E21/(E94)*1000-0.01</f>
        <v>3.5593347587681485</v>
      </c>
      <c r="G59" s="71">
        <f>G21/(G94)*1000</f>
        <v>2.8615980397196661</v>
      </c>
      <c r="I59" s="49">
        <f>I21/(I94)*1000</f>
        <v>1.5415235716515767</v>
      </c>
      <c r="K59" s="49">
        <f>K21/(K94)*1000</f>
        <v>2.2554151240478317</v>
      </c>
      <c r="M59" s="49">
        <f>M21/(M93)*1000+0.01</f>
        <v>5.50153763053655</v>
      </c>
      <c r="N59" s="49">
        <f>N21/(N93)*1000</f>
        <v>4.0163934426229506</v>
      </c>
      <c r="O59" s="49">
        <f>O21/(O93)*1000</f>
        <v>11.94676074406671</v>
      </c>
      <c r="P59" s="49">
        <f>P21/(P93)*1000</f>
        <v>11.180322632167385</v>
      </c>
      <c r="Q59" s="49">
        <f>Q21/(Q93)*1000</f>
        <v>8.2605275143886381</v>
      </c>
      <c r="S59" s="49">
        <f>S21/(S93)*1000</f>
        <v>12.358049432197728</v>
      </c>
      <c r="T59" s="49">
        <f>T21/(T93)*1000+0.01</f>
        <v>4.7020320764374679</v>
      </c>
      <c r="U59" s="71">
        <f>U21/(U93)*1000</f>
        <v>6.8983137455288706</v>
      </c>
      <c r="V59" s="71">
        <f>V21/(V93)*1000</f>
        <v>6.9892948774661594</v>
      </c>
      <c r="W59" s="71">
        <f>W21/(W93)*1000+0.01</f>
        <v>7.7805233864925611</v>
      </c>
      <c r="X59" s="93"/>
      <c r="Y59" s="57"/>
      <c r="Z59" s="57"/>
    </row>
    <row r="60" spans="2:27" x14ac:dyDescent="0.2">
      <c r="B60" s="7" t="s">
        <v>25</v>
      </c>
      <c r="C60" s="8"/>
      <c r="E60" s="48">
        <f>SUM(E53:E59)+0.01</f>
        <v>112.37245301238059</v>
      </c>
      <c r="G60" s="57">
        <f>SUM(G53:G59)-0.01</f>
        <v>128.79618242259119</v>
      </c>
      <c r="I60" s="48">
        <f>SUM(I53:I59)+0.01</f>
        <v>35.913840149859503</v>
      </c>
      <c r="K60" s="48">
        <f>SUM(K53:K59)</f>
        <v>41.12940976211754</v>
      </c>
      <c r="M60" s="48">
        <f>SUM(M53:M59)</f>
        <v>45.102628736046086</v>
      </c>
      <c r="N60" s="48">
        <f>SUM(N53:N59)</f>
        <v>44.098360655737707</v>
      </c>
      <c r="O60" s="48">
        <f>SUM(O53:O59)-0.01</f>
        <v>51.545484284797944</v>
      </c>
      <c r="P60" s="48">
        <f>SUM(P53:P59)+0.01</f>
        <v>48.96384123941862</v>
      </c>
      <c r="Q60" s="48">
        <f>SUM(Q53:Q59)-0.01</f>
        <v>47.503560515092538</v>
      </c>
      <c r="S60" s="48">
        <f>SUM(S53:S59)</f>
        <v>52.855711422845687</v>
      </c>
      <c r="T60" s="48">
        <f>SUM(T53:T59)-0.01</f>
        <v>45.299436956150828</v>
      </c>
      <c r="U60" s="57">
        <f>SUM(U53:U59)+0.01</f>
        <v>45.402607732924544</v>
      </c>
      <c r="V60" s="57">
        <f>SUM(V53:V59)+0.01</f>
        <v>44.953820224719102</v>
      </c>
      <c r="W60" s="57">
        <f>SUM(W53:W59)</f>
        <v>47.211113132826718</v>
      </c>
      <c r="X60" s="57"/>
      <c r="Y60" s="57"/>
      <c r="Z60" s="57"/>
      <c r="AA60" s="34"/>
    </row>
    <row r="61" spans="2:27" ht="6" customHeight="1" x14ac:dyDescent="0.2">
      <c r="B61" s="7"/>
      <c r="C61" s="8"/>
      <c r="E61" s="48"/>
      <c r="G61" s="48"/>
      <c r="I61" s="48"/>
      <c r="K61" s="48"/>
      <c r="M61" s="48"/>
      <c r="N61" s="48"/>
      <c r="O61" s="48"/>
      <c r="P61" s="48"/>
      <c r="Q61" s="48"/>
      <c r="S61" s="48"/>
      <c r="T61" s="48"/>
      <c r="U61" s="57"/>
      <c r="V61" s="57"/>
      <c r="W61" s="57"/>
      <c r="X61" s="57"/>
      <c r="Y61" s="57"/>
      <c r="Z61" s="57"/>
    </row>
    <row r="62" spans="2:27" x14ac:dyDescent="0.2">
      <c r="B62" s="1" t="s">
        <v>36</v>
      </c>
      <c r="C62" s="8"/>
      <c r="E62" s="48">
        <f>+E50-E60+0.01</f>
        <v>-40.406733455185027</v>
      </c>
      <c r="G62" s="48">
        <f>+G50-G60</f>
        <v>-87.6200142223136</v>
      </c>
      <c r="I62" s="48">
        <f>+I50-I60+0.01</f>
        <v>-5.7172962847330613</v>
      </c>
      <c r="K62" s="48">
        <f>+K50-K60</f>
        <v>1.553257585429165</v>
      </c>
      <c r="M62" s="48">
        <f>+M50-M60+0.01</f>
        <v>9.7227223622614449</v>
      </c>
      <c r="N62" s="48">
        <f>+N50-N60</f>
        <v>0.90163934426228565</v>
      </c>
      <c r="O62" s="48">
        <f>+O50-O60</f>
        <v>14.843226427196932</v>
      </c>
      <c r="P62" s="48">
        <f>+P50-P60+0.01</f>
        <v>37.134643028270247</v>
      </c>
      <c r="Q62" s="48">
        <f>+Q50-Q60</f>
        <v>15.930665810939509</v>
      </c>
      <c r="S62" s="48">
        <f>+S50-S60</f>
        <v>4.7595190380761636</v>
      </c>
      <c r="T62" s="48">
        <f>+T50-T60</f>
        <v>10.407780242279472</v>
      </c>
      <c r="U62" s="57">
        <f>+U50-U60+0.01</f>
        <v>12.594326349855232</v>
      </c>
      <c r="V62" s="57">
        <f>+V50-V60+0.01</f>
        <v>9.0241528797664348</v>
      </c>
      <c r="W62" s="57">
        <f>+W50-W60</f>
        <v>9.1733458204003</v>
      </c>
      <c r="X62" s="57"/>
      <c r="Y62" s="57"/>
      <c r="Z62" s="57"/>
    </row>
    <row r="63" spans="2:27" ht="4.9000000000000004" customHeight="1" x14ac:dyDescent="0.2">
      <c r="B63" s="1"/>
      <c r="C63" s="8"/>
      <c r="E63" s="48"/>
      <c r="G63" s="48"/>
      <c r="I63" s="48"/>
      <c r="K63" s="48"/>
      <c r="M63" s="48"/>
      <c r="N63" s="48"/>
      <c r="O63" s="48"/>
      <c r="P63" s="48"/>
      <c r="Q63" s="48"/>
      <c r="S63" s="48"/>
      <c r="T63" s="48"/>
      <c r="U63" s="57"/>
      <c r="V63" s="57"/>
      <c r="W63" s="57"/>
      <c r="X63" s="57"/>
      <c r="Y63" s="57"/>
      <c r="Z63" s="57"/>
    </row>
    <row r="64" spans="2:27" ht="13.9" customHeight="1" x14ac:dyDescent="0.2">
      <c r="B64" s="1" t="s">
        <v>37</v>
      </c>
      <c r="C64" s="8"/>
      <c r="E64" s="48"/>
      <c r="G64" s="48"/>
      <c r="I64" s="48"/>
      <c r="K64" s="48"/>
      <c r="M64" s="48"/>
      <c r="N64" s="48"/>
      <c r="O64" s="48"/>
      <c r="P64" s="48"/>
      <c r="Q64" s="48"/>
      <c r="S64" s="48"/>
      <c r="T64" s="48"/>
      <c r="U64" s="57"/>
      <c r="V64" s="57"/>
      <c r="W64" s="57"/>
      <c r="X64" s="57"/>
      <c r="Y64" s="57"/>
      <c r="Z64" s="57"/>
    </row>
    <row r="65" spans="2:26 16276:16276" ht="13.9" customHeight="1" x14ac:dyDescent="0.2">
      <c r="B65" s="74" t="s">
        <v>21</v>
      </c>
      <c r="C65" s="8"/>
      <c r="E65" s="48">
        <f>ROUND(E27/(E94)*1000,2)</f>
        <v>-1.24</v>
      </c>
      <c r="F65" s="22"/>
      <c r="G65" s="48">
        <f>ROUND(G27/(G94)*1000,2)</f>
        <v>-5.59</v>
      </c>
      <c r="H65" s="22"/>
      <c r="I65" s="48">
        <f>ROUND(I27/(I94)*1000,2)</f>
        <v>-6.4</v>
      </c>
      <c r="K65" s="48">
        <f>ROUND(K27/(K94)*1000,2)</f>
        <v>-7.3</v>
      </c>
      <c r="M65" s="48">
        <f>M27/(M93)*1000</f>
        <v>-8.2823190493338128</v>
      </c>
      <c r="N65" s="48">
        <f>N27/(N93)*1000</f>
        <v>-7.7049180327868854</v>
      </c>
      <c r="O65" s="48">
        <f>O27/(O93)*1000</f>
        <v>-7.6170622193713919</v>
      </c>
      <c r="P65" s="48">
        <f>P27/(P93)*1000</f>
        <v>-7.8262258425171698</v>
      </c>
      <c r="Q65" s="48">
        <f>Q27/(Q93)*1000</f>
        <v>-7.8464659848453477</v>
      </c>
      <c r="S65" s="48">
        <f>S27/(S93)*1000</f>
        <v>-8.3500334001336007</v>
      </c>
      <c r="T65" s="48">
        <f>T27/(T93)*1000</f>
        <v>-8.3603480634703971</v>
      </c>
      <c r="U65" s="57">
        <f>U27/(U93)*1000</f>
        <v>-8.090614886731391</v>
      </c>
      <c r="V65" s="57">
        <f>V27/(V93)*1000</f>
        <v>-7.9624878350880293</v>
      </c>
      <c r="W65" s="57">
        <f>W27/(W93)*1000</f>
        <v>-8.1986513967676338</v>
      </c>
      <c r="X65" s="57"/>
      <c r="Y65" s="57"/>
      <c r="Z65" s="57"/>
    </row>
    <row r="66" spans="2:26 16276:16276" ht="13.9" customHeight="1" x14ac:dyDescent="0.2">
      <c r="B66" s="74" t="s">
        <v>62</v>
      </c>
      <c r="C66" s="8"/>
      <c r="E66" s="48">
        <f>+E28/E94*1000</f>
        <v>0</v>
      </c>
      <c r="F66" s="22"/>
      <c r="G66" s="48">
        <f>+G28/G94*1000</f>
        <v>0.34270635206223543</v>
      </c>
      <c r="H66" s="22"/>
      <c r="I66" s="48">
        <f>+I28/I94*1000</f>
        <v>15.707930065563536</v>
      </c>
      <c r="K66" s="48">
        <f>+K28/K94*1000</f>
        <v>8.5110004681050261E-2</v>
      </c>
      <c r="M66" s="48">
        <f>+M28/M93*1000</f>
        <v>0</v>
      </c>
      <c r="N66" s="48">
        <f>+N28/N93*1000</f>
        <v>1.9672131147540983</v>
      </c>
      <c r="O66" s="48">
        <f>+O28/O93*1000</f>
        <v>0.16035920461834507</v>
      </c>
      <c r="P66" s="48">
        <f>+P28/P93*1000</f>
        <v>2.4756428685513496</v>
      </c>
      <c r="Q66" s="48">
        <f>+Q28/Q93*1000</f>
        <v>1.1800753591983768</v>
      </c>
      <c r="S66" s="48">
        <f>+S28/S93*1000</f>
        <v>0.50100200400801598</v>
      </c>
      <c r="T66" s="48">
        <f>+T28/T93*1000</f>
        <v>1.7061934823408975</v>
      </c>
      <c r="U66" s="57">
        <f>+U28/U93*1000</f>
        <v>6.9834781127576226</v>
      </c>
      <c r="V66" s="57">
        <f>+V28/V93*1000</f>
        <v>1.5924975670176058</v>
      </c>
      <c r="W66" s="57">
        <f>+W28/W93*1000</f>
        <v>2.6972064647329548</v>
      </c>
      <c r="X66" s="57"/>
      <c r="Y66" s="57"/>
      <c r="Z66" s="57"/>
    </row>
    <row r="67" spans="2:26 16276:16276" ht="13.9" customHeight="1" x14ac:dyDescent="0.2">
      <c r="B67" s="74" t="s">
        <v>61</v>
      </c>
      <c r="C67" s="8"/>
      <c r="E67" s="48">
        <f>+E29/E94*1000</f>
        <v>0</v>
      </c>
      <c r="F67" s="22"/>
      <c r="G67" s="48">
        <f>+G29/G94*1000</f>
        <v>0</v>
      </c>
      <c r="H67" s="22"/>
      <c r="I67" s="48">
        <f>+I29/I94*1000</f>
        <v>0.5853886980955354</v>
      </c>
      <c r="K67" s="48">
        <f>+K29/K94*1000</f>
        <v>0.44682752457551383</v>
      </c>
      <c r="M67" s="48">
        <f>+M29/M93*1000</f>
        <v>0</v>
      </c>
      <c r="N67" s="48">
        <f>+N29/N93*1000</f>
        <v>8.1967213114754092E-2</v>
      </c>
      <c r="O67" s="48">
        <f>+O29/O93*1000</f>
        <v>0.24053880692751764</v>
      </c>
      <c r="P67" s="48">
        <f>+P29/P93*1000</f>
        <v>7.9859447372624182E-2</v>
      </c>
      <c r="Q67" s="48">
        <f>+Q29/Q93*1000</f>
        <v>0.10351538238582254</v>
      </c>
      <c r="S67" s="48">
        <f>+S29/S93*1000</f>
        <v>0</v>
      </c>
      <c r="T67" s="48">
        <f>+T29/T93*1000</f>
        <v>0</v>
      </c>
      <c r="U67" s="57">
        <f>+U29/U93*1000</f>
        <v>0</v>
      </c>
      <c r="V67" s="57">
        <f>+V29/V93*1000</f>
        <v>0</v>
      </c>
      <c r="W67" s="57">
        <f>+W29/W93*1000</f>
        <v>0</v>
      </c>
      <c r="X67" s="57"/>
      <c r="Y67" s="57"/>
      <c r="Z67" s="57"/>
    </row>
    <row r="68" spans="2:26 16276:16276" ht="13.9" customHeight="1" x14ac:dyDescent="0.2">
      <c r="B68" s="74" t="s">
        <v>58</v>
      </c>
      <c r="C68" s="8"/>
      <c r="E68" s="49">
        <f>+E30/E94*1000</f>
        <v>-8.621581542918233E-2</v>
      </c>
      <c r="G68" s="49">
        <f>+G30/G94*1000-0.01</f>
        <v>-0.96957778577425935</v>
      </c>
      <c r="I68" s="49">
        <f>+I30/I94*1000-0.01</f>
        <v>-0.26366843584139871</v>
      </c>
      <c r="K68" s="49">
        <f>+K30/K94*1000</f>
        <v>-0.3617175198944636</v>
      </c>
      <c r="M68" s="49">
        <f>+M30/M93*1000</f>
        <v>-0.63017644940583362</v>
      </c>
      <c r="N68" s="49">
        <f>+N30/N93*1000</f>
        <v>-0.4098360655737705</v>
      </c>
      <c r="O68" s="49">
        <f>+O30/O93*1000</f>
        <v>-0.32071840923669015</v>
      </c>
      <c r="P68" s="49">
        <f>+P30/P93*1000</f>
        <v>-0.55901613160836927</v>
      </c>
      <c r="Q68" s="49">
        <f>+Q30/Q93*1000</f>
        <v>-0.47617075897478367</v>
      </c>
      <c r="S68" s="49">
        <f>+S30/S93*1000</f>
        <v>-0.58450233800935203</v>
      </c>
      <c r="T68" s="49">
        <f>+T30/T93*1000</f>
        <v>-0.25592902235113463</v>
      </c>
      <c r="U68" s="71">
        <f>+U30/U93*1000</f>
        <v>-0.68131493783001196</v>
      </c>
      <c r="V68" s="71">
        <f>+V30/V93*1000+0.01</f>
        <v>-4.7674927010528183</v>
      </c>
      <c r="W68" s="71">
        <f>+W30/W93*1000</f>
        <v>-1.5412608369902601</v>
      </c>
      <c r="X68" s="57"/>
      <c r="Y68" s="57"/>
      <c r="Z68" s="57"/>
    </row>
    <row r="69" spans="2:26 16276:16276" ht="3.6" customHeight="1" x14ac:dyDescent="0.2">
      <c r="B69" s="7"/>
      <c r="C69" s="8"/>
      <c r="E69" s="48"/>
      <c r="G69" s="48"/>
      <c r="I69" s="48"/>
      <c r="K69" s="48"/>
      <c r="M69" s="48"/>
      <c r="N69" s="48"/>
      <c r="O69" s="48"/>
      <c r="P69" s="48"/>
      <c r="Q69" s="48"/>
      <c r="S69" s="48"/>
      <c r="T69" s="48"/>
      <c r="U69" s="57"/>
      <c r="V69" s="57"/>
      <c r="W69" s="57"/>
      <c r="X69" s="57"/>
      <c r="Y69" s="57"/>
      <c r="Z69" s="57"/>
    </row>
    <row r="70" spans="2:26 16276:16276" ht="14.65" customHeight="1" x14ac:dyDescent="0.2">
      <c r="B70" s="1" t="s">
        <v>33</v>
      </c>
      <c r="C70" s="8"/>
      <c r="E70" s="34">
        <f>+E62+E65+E66+E68+E67-0.01</f>
        <v>-41.742949270614211</v>
      </c>
      <c r="G70" s="34">
        <f>+G62+G65+G66+G68+G67</f>
        <v>-93.836885656025629</v>
      </c>
      <c r="I70" s="34">
        <f>+I62+I65+I66+I68+I67+0.01</f>
        <v>3.9223540430846109</v>
      </c>
      <c r="J70" s="53"/>
      <c r="K70" s="34">
        <f>+K62+K65+K66+K68+K67+0.01</f>
        <v>-5.566522405208735</v>
      </c>
      <c r="M70" s="34">
        <f>+M62+M65+M66+M68+M67</f>
        <v>0.81022686352179851</v>
      </c>
      <c r="N70" s="34">
        <f>+N62+N65+N66+N68+N67</f>
        <v>-5.1639344262295177</v>
      </c>
      <c r="O70" s="34">
        <f>+O62+O65+O66+O68+O67-0.01</f>
        <v>7.2963438101347124</v>
      </c>
      <c r="P70" s="34">
        <f>+P62+P65+P66+P68+P67</f>
        <v>31.304903370068683</v>
      </c>
      <c r="Q70" s="34">
        <f>+Q62+Q65+Q66+Q68+Q67-0.01</f>
        <v>8.8816198087035758</v>
      </c>
      <c r="S70" s="34">
        <f>+S62+S65+S66+S68+S67</f>
        <v>-3.6740146960587734</v>
      </c>
      <c r="T70" s="34">
        <f>+T62+T65+T66+T68+T67</f>
        <v>3.4976966387988377</v>
      </c>
      <c r="U70" s="72">
        <f>+U62+U65+U66+U68+U67-0.01</f>
        <v>10.795874638051451</v>
      </c>
      <c r="V70" s="72">
        <f>+V62+V65+V66+V68+V67-0.01</f>
        <v>-2.1233300893568066</v>
      </c>
      <c r="W70" s="72">
        <f>+W62+W65+W66+W68+W67</f>
        <v>2.1306400513753609</v>
      </c>
      <c r="X70" s="92"/>
      <c r="Y70" s="92"/>
      <c r="Z70" s="92"/>
    </row>
    <row r="71" spans="2:26 16276:16276" ht="14.65" customHeight="1" x14ac:dyDescent="0.2">
      <c r="B71" s="39" t="s">
        <v>23</v>
      </c>
      <c r="C71" s="8"/>
      <c r="E71" s="49">
        <f>E32/(E93)*1000</f>
        <v>17.03398167164282</v>
      </c>
      <c r="G71" s="71">
        <f>G32/(G93)*1000</f>
        <v>32.934080433180831</v>
      </c>
      <c r="I71" s="49">
        <f>I32/(I93)*1000</f>
        <v>1.5220106150483921</v>
      </c>
      <c r="K71" s="49">
        <f>K32/(K93)*1000</f>
        <v>0</v>
      </c>
      <c r="M71" s="49">
        <f>M32/(M93)*1000</f>
        <v>0</v>
      </c>
      <c r="N71" s="49">
        <f>N32/(N93)*1000</f>
        <v>0</v>
      </c>
      <c r="O71" s="49">
        <f>O32/(O93)*1000</f>
        <v>0</v>
      </c>
      <c r="P71" s="49">
        <f>P32/(P93)*1000</f>
        <v>0</v>
      </c>
      <c r="Q71" s="49">
        <f>Q32/(Q93)*1000</f>
        <v>0</v>
      </c>
      <c r="S71" s="49">
        <f>S32/(S93)*1000</f>
        <v>0</v>
      </c>
      <c r="T71" s="49">
        <f>T32/(T93)*1000</f>
        <v>0</v>
      </c>
      <c r="U71" s="71">
        <f>U32/(U93)*1000</f>
        <v>0</v>
      </c>
      <c r="V71" s="71">
        <f>V32/(V93)*1000</f>
        <v>-8.8472087056533671E-2</v>
      </c>
      <c r="W71" s="71">
        <f>W32/(W93)*1000</f>
        <v>-2.1406400513753612E-2</v>
      </c>
      <c r="X71" s="57"/>
      <c r="Y71" s="57"/>
      <c r="Z71" s="57"/>
    </row>
    <row r="72" spans="2:26 16276:16276" ht="14.65" customHeight="1" x14ac:dyDescent="0.2">
      <c r="B72" s="1" t="s">
        <v>34</v>
      </c>
      <c r="C72" s="31"/>
      <c r="D72" s="30"/>
      <c r="E72" s="48">
        <f>SUM(E70:E71)</f>
        <v>-24.708967598971391</v>
      </c>
      <c r="F72" s="30"/>
      <c r="G72" s="48">
        <f>SUM(G70:G71)-0.01</f>
        <v>-60.912805222844796</v>
      </c>
      <c r="H72" s="30"/>
      <c r="I72" s="48">
        <f>SUM(I70:I71)</f>
        <v>5.4443646581330025</v>
      </c>
      <c r="J72" s="53"/>
      <c r="K72" s="48">
        <f>SUM(K70:K71)</f>
        <v>-5.566522405208735</v>
      </c>
      <c r="M72" s="48">
        <f>SUM(M70:M71)</f>
        <v>0.81022686352179851</v>
      </c>
      <c r="N72" s="48">
        <f>SUM(N70:N71)</f>
        <v>-5.1639344262295177</v>
      </c>
      <c r="O72" s="48">
        <f>SUM(O70:O71)</f>
        <v>7.2963438101347124</v>
      </c>
      <c r="P72" s="48">
        <f>SUM(P70:P71)</f>
        <v>31.304903370068683</v>
      </c>
      <c r="Q72" s="48">
        <f>SUM(Q70:Q71)</f>
        <v>8.8816198087035758</v>
      </c>
      <c r="S72" s="48">
        <f>SUM(S70:S71)</f>
        <v>-3.6740146960587734</v>
      </c>
      <c r="T72" s="48">
        <f>SUM(T70:T71)</f>
        <v>3.4976966387988377</v>
      </c>
      <c r="U72" s="57">
        <f>SUM(U70:U71)</f>
        <v>10.795874638051451</v>
      </c>
      <c r="V72" s="57">
        <f>SUM(V70:V71)</f>
        <v>-2.2118021764133404</v>
      </c>
      <c r="W72" s="57">
        <f>SUM(W70:W71)</f>
        <v>2.1092336508616074</v>
      </c>
      <c r="X72" s="57"/>
      <c r="Y72" s="48"/>
      <c r="Z72" s="57"/>
    </row>
    <row r="73" spans="2:26 16276:16276" ht="4.1500000000000004" customHeight="1" x14ac:dyDescent="0.2">
      <c r="B73" s="1"/>
      <c r="C73" s="31"/>
      <c r="D73" s="30"/>
      <c r="E73" s="48"/>
      <c r="F73" s="30"/>
      <c r="G73" s="48"/>
      <c r="H73" s="30"/>
      <c r="I73" s="48"/>
      <c r="J73" s="53"/>
      <c r="K73" s="48"/>
      <c r="M73" s="48"/>
      <c r="N73" s="48"/>
      <c r="O73" s="48"/>
      <c r="P73" s="48"/>
      <c r="Q73" s="48"/>
      <c r="S73" s="48"/>
      <c r="T73" s="48"/>
      <c r="U73" s="57"/>
      <c r="V73" s="57"/>
      <c r="W73" s="57"/>
      <c r="X73" s="57"/>
      <c r="Y73" s="57"/>
      <c r="Z73" s="57"/>
    </row>
    <row r="74" spans="2:26 16276:16276" ht="14.65" customHeight="1" x14ac:dyDescent="0.2">
      <c r="B74" s="95" t="s">
        <v>74</v>
      </c>
      <c r="C74" s="31"/>
      <c r="U74" s="36"/>
      <c r="V74" s="36"/>
      <c r="W74" s="36"/>
      <c r="X74" s="57"/>
      <c r="Y74" s="57"/>
      <c r="Z74" s="57"/>
      <c r="XAZ74" s="49"/>
    </row>
    <row r="75" spans="2:26 16276:16276" ht="14.65" customHeight="1" x14ac:dyDescent="0.2">
      <c r="B75" s="80" t="s">
        <v>72</v>
      </c>
      <c r="C75" s="31"/>
      <c r="D75" s="30"/>
      <c r="E75" s="48">
        <f>E36/(E94)*1000</f>
        <v>0</v>
      </c>
      <c r="F75" s="22"/>
      <c r="G75" s="48">
        <f>G36/(G94)*1000</f>
        <v>0</v>
      </c>
      <c r="H75" s="22"/>
      <c r="I75" s="48">
        <f>I36/(I94)*1000</f>
        <v>0</v>
      </c>
      <c r="J75" s="53"/>
      <c r="K75" s="48">
        <f>K36/(K94)*1000</f>
        <v>0</v>
      </c>
      <c r="M75" s="48">
        <f>M36/(M93)*1000</f>
        <v>-1.2603528988116672</v>
      </c>
      <c r="N75" s="48">
        <f>N36/(N93)*1000</f>
        <v>-2.377049180327869</v>
      </c>
      <c r="O75" s="48">
        <f>O36/(O93)*1000</f>
        <v>-2.2450288646568315</v>
      </c>
      <c r="P75" s="48">
        <f>P36/(P93)*1000</f>
        <v>-2.2360645264334771</v>
      </c>
      <c r="Q75" s="48">
        <f>Q36/(Q93)*1000</f>
        <v>-2.0496045712392865</v>
      </c>
      <c r="S75" s="48">
        <f>S36/(S93)*1000</f>
        <v>-2.3380093520374081</v>
      </c>
      <c r="T75" s="48">
        <f>T36/(T93)*1000</f>
        <v>-2.4739805493943017</v>
      </c>
      <c r="U75" s="57">
        <f>U36/(U93)*1000</f>
        <v>-2.5549310168625445</v>
      </c>
      <c r="V75" s="57">
        <f>V36/(V93)*1000</f>
        <v>-2.6541626116960102</v>
      </c>
      <c r="W75" s="57">
        <f>W36/(W93)*1000</f>
        <v>-2.504548860109173</v>
      </c>
      <c r="X75" s="57"/>
      <c r="Y75" s="57"/>
      <c r="Z75" s="57"/>
      <c r="XAZ75" s="48"/>
    </row>
    <row r="76" spans="2:26 16276:16276" ht="14.65" customHeight="1" x14ac:dyDescent="0.2">
      <c r="B76" s="80" t="s">
        <v>73</v>
      </c>
      <c r="C76" s="31"/>
      <c r="D76" s="30"/>
      <c r="E76" s="48">
        <f>E37/(E94)*1000</f>
        <v>0</v>
      </c>
      <c r="F76" s="22"/>
      <c r="G76" s="48">
        <f>G37/(G94)*1000</f>
        <v>0</v>
      </c>
      <c r="H76" s="22"/>
      <c r="I76" s="48">
        <f>I37/(I94)*1000</f>
        <v>0</v>
      </c>
      <c r="J76" s="53"/>
      <c r="K76" s="48">
        <f>K37/(K94)*1000</f>
        <v>-8.5110004681050261E-2</v>
      </c>
      <c r="M76" s="48">
        <f>M37/(M93)*1000</f>
        <v>0.27007562117392869</v>
      </c>
      <c r="N76" s="48">
        <f>N37/(N93)*1000</f>
        <v>0.81967213114754101</v>
      </c>
      <c r="O76" s="48">
        <f>O37/(O93)*1000+0.01</f>
        <v>0.25053880692751762</v>
      </c>
      <c r="P76" s="48">
        <f>P37/(P93)*1000+0.01</f>
        <v>-1.4274700527072353</v>
      </c>
      <c r="Q76" s="48">
        <f>Q37/(Q93)*1000</f>
        <v>-4.1406152954329013E-2</v>
      </c>
      <c r="S76" s="49">
        <f>S37/(S93)*1000</f>
        <v>0.41750167000668004</v>
      </c>
      <c r="T76" s="49">
        <f>T37/(T93)*1000</f>
        <v>0</v>
      </c>
      <c r="U76" s="71">
        <f>U37/(U93)*1000</f>
        <v>-0.2554931016862545</v>
      </c>
      <c r="V76" s="71">
        <f>V37/(V93)*1000</f>
        <v>-1.0616650446784039</v>
      </c>
      <c r="W76" s="71">
        <f>W37/(W93)*1000</f>
        <v>-0.21406400513753612</v>
      </c>
      <c r="X76" s="57"/>
      <c r="Y76" s="57"/>
      <c r="Z76" s="57"/>
      <c r="XAZ76" s="48"/>
    </row>
    <row r="77" spans="2:26 16276:16276" ht="14.65" customHeight="1" x14ac:dyDescent="0.2">
      <c r="B77" s="80" t="s">
        <v>75</v>
      </c>
      <c r="C77" s="31"/>
      <c r="D77" s="30"/>
      <c r="E77" s="94">
        <f>+E75+E76</f>
        <v>0</v>
      </c>
      <c r="F77" s="22"/>
      <c r="G77" s="94">
        <f>+G75+G76</f>
        <v>0</v>
      </c>
      <c r="H77" s="22"/>
      <c r="I77" s="94">
        <f>+I75+I76</f>
        <v>0</v>
      </c>
      <c r="J77" s="53"/>
      <c r="K77" s="94">
        <f>+K75+K76</f>
        <v>-8.5110004681050261E-2</v>
      </c>
      <c r="M77" s="94">
        <f>+M75+M76</f>
        <v>-0.99027727763773854</v>
      </c>
      <c r="N77" s="94">
        <f>+N75+N76</f>
        <v>-1.557377049180328</v>
      </c>
      <c r="O77" s="94">
        <f>+O75+O76-0.01</f>
        <v>-2.0044900577293139</v>
      </c>
      <c r="P77" s="94">
        <f>+P75+P76-0.01</f>
        <v>-3.6735345791407124</v>
      </c>
      <c r="Q77" s="94">
        <f>+Q75+Q76</f>
        <v>-2.0910107241936156</v>
      </c>
      <c r="S77" s="48">
        <f>+S75+S76</f>
        <v>-1.9205076820307281</v>
      </c>
      <c r="T77" s="48">
        <f>+T75+T76</f>
        <v>-2.4739805493943017</v>
      </c>
      <c r="U77" s="57">
        <f>+U75+U76</f>
        <v>-2.810424118548799</v>
      </c>
      <c r="V77" s="57">
        <f>+V75+V76+0.01</f>
        <v>-3.7058276563744146</v>
      </c>
      <c r="W77" s="57">
        <f>+W75+W76+0.01</f>
        <v>-2.7086128652467094</v>
      </c>
      <c r="X77" s="57"/>
      <c r="Y77" s="57"/>
      <c r="Z77" s="48"/>
      <c r="XAZ77" s="48"/>
    </row>
    <row r="78" spans="2:26 16276:16276" ht="1.9" customHeight="1" x14ac:dyDescent="0.2">
      <c r="B78" s="80"/>
      <c r="C78" s="31"/>
      <c r="D78" s="30"/>
      <c r="E78" s="48"/>
      <c r="F78" s="22"/>
      <c r="G78" s="48"/>
      <c r="H78" s="22"/>
      <c r="I78" s="48"/>
      <c r="J78" s="53"/>
      <c r="K78" s="48"/>
      <c r="M78" s="48"/>
      <c r="N78" s="48"/>
      <c r="O78" s="48"/>
      <c r="P78" s="48"/>
      <c r="Q78" s="48"/>
      <c r="S78" s="48"/>
      <c r="T78" s="48"/>
      <c r="U78" s="57"/>
      <c r="V78" s="57"/>
      <c r="W78" s="57"/>
      <c r="X78" s="57"/>
      <c r="Y78" s="57"/>
      <c r="Z78" s="57"/>
      <c r="XAZ78" s="48"/>
    </row>
    <row r="79" spans="2:26 16276:16276" ht="14.65" customHeight="1" thickBot="1" x14ac:dyDescent="0.25">
      <c r="B79" s="1" t="s">
        <v>35</v>
      </c>
      <c r="C79" s="31"/>
      <c r="D79" s="30"/>
      <c r="E79" s="50">
        <f>+E72+E77</f>
        <v>-24.708967598971391</v>
      </c>
      <c r="F79" s="30"/>
      <c r="G79" s="50">
        <f>+G72+G77</f>
        <v>-60.912805222844796</v>
      </c>
      <c r="H79" s="30"/>
      <c r="I79" s="50">
        <f>+I72+I77</f>
        <v>5.4443646581330025</v>
      </c>
      <c r="J79" s="53"/>
      <c r="K79" s="50">
        <f>+K72+K77-0.01</f>
        <v>-5.6616324098897852</v>
      </c>
      <c r="M79" s="50">
        <f>+M72+M77</f>
        <v>-0.18005041411594003</v>
      </c>
      <c r="N79" s="50">
        <f>+N72+N77</f>
        <v>-6.7213114754098457</v>
      </c>
      <c r="O79" s="50">
        <f>+O72+O77+0.01</f>
        <v>5.3018537524053979</v>
      </c>
      <c r="P79" s="50">
        <f>+P72+P77</f>
        <v>27.631368790927972</v>
      </c>
      <c r="Q79" s="50">
        <f>+Q72+Q77</f>
        <v>6.7906090845099598</v>
      </c>
      <c r="S79" s="50">
        <f>+S72+S77</f>
        <v>-5.5945223780895015</v>
      </c>
      <c r="T79" s="50">
        <f>+T72+T77+0.01</f>
        <v>1.0337160894045361</v>
      </c>
      <c r="U79" s="96">
        <f>+U72+U77</f>
        <v>7.9854505195026526</v>
      </c>
      <c r="V79" s="96">
        <f>+V72+V77</f>
        <v>-5.917629832787755</v>
      </c>
      <c r="W79" s="96">
        <f>+W72+W77</f>
        <v>-0.599379214385102</v>
      </c>
      <c r="X79" s="91"/>
      <c r="Y79" s="98"/>
      <c r="Z79" s="98"/>
    </row>
    <row r="80" spans="2:26 16276:16276" ht="13.5" thickTop="1" x14ac:dyDescent="0.2">
      <c r="J80" s="36"/>
      <c r="N80" s="25"/>
      <c r="O80" s="45"/>
      <c r="T80" s="25"/>
      <c r="U80" s="69"/>
      <c r="V80" s="69"/>
      <c r="W80" s="36"/>
      <c r="X80" s="91"/>
      <c r="Y80" s="52"/>
      <c r="Z80" s="12"/>
    </row>
    <row r="81" spans="1:26" x14ac:dyDescent="0.2">
      <c r="J81" s="36"/>
      <c r="N81" s="25"/>
      <c r="O81" s="45"/>
      <c r="T81" s="25"/>
      <c r="U81" s="25"/>
      <c r="X81" s="91"/>
      <c r="Y81" s="12"/>
      <c r="Z81" s="12"/>
    </row>
    <row r="82" spans="1:26" hidden="1" outlineLevel="1" x14ac:dyDescent="0.2">
      <c r="B82" s="87" t="s">
        <v>44</v>
      </c>
      <c r="Y82" s="12"/>
      <c r="Z82" s="12"/>
    </row>
    <row r="83" spans="1:26" hidden="1" outlineLevel="1" x14ac:dyDescent="0.2">
      <c r="B83" s="87" t="s">
        <v>42</v>
      </c>
      <c r="Y83" s="12"/>
      <c r="Z83" s="12"/>
    </row>
    <row r="84" spans="1:26" hidden="1" outlineLevel="1" x14ac:dyDescent="0.2">
      <c r="B84" s="87" t="s">
        <v>43</v>
      </c>
      <c r="Y84" s="12"/>
      <c r="Z84" s="12"/>
    </row>
    <row r="85" spans="1:26" ht="6" hidden="1" customHeight="1" outlineLevel="1" x14ac:dyDescent="0.2">
      <c r="B85" s="87"/>
      <c r="Y85" s="12"/>
      <c r="Z85" s="12"/>
    </row>
    <row r="86" spans="1:26" hidden="1" outlineLevel="1" x14ac:dyDescent="0.2">
      <c r="B86" s="87" t="s">
        <v>55</v>
      </c>
      <c r="Y86" s="12"/>
      <c r="Z86" s="12"/>
    </row>
    <row r="87" spans="1:26" hidden="1" outlineLevel="1" x14ac:dyDescent="0.2">
      <c r="B87" s="87" t="s">
        <v>56</v>
      </c>
      <c r="Y87" s="12"/>
      <c r="Z87" s="12"/>
    </row>
    <row r="88" spans="1:26" ht="9" hidden="1" customHeight="1" outlineLevel="1" x14ac:dyDescent="0.2">
      <c r="B88" s="87"/>
      <c r="Y88" s="12"/>
      <c r="Z88" s="12"/>
    </row>
    <row r="89" spans="1:26" hidden="1" outlineLevel="1" x14ac:dyDescent="0.2">
      <c r="B89" s="87" t="s">
        <v>59</v>
      </c>
      <c r="Y89" s="12"/>
      <c r="Z89" s="12"/>
    </row>
    <row r="90" spans="1:26" ht="15" hidden="1" outlineLevel="1" x14ac:dyDescent="0.2">
      <c r="B90" s="88"/>
      <c r="Y90" s="12"/>
      <c r="Z90" s="12"/>
    </row>
    <row r="91" spans="1:26" ht="15" hidden="1" outlineLevel="1" x14ac:dyDescent="0.2">
      <c r="B91" s="88"/>
      <c r="Y91" s="12"/>
      <c r="Z91" s="12"/>
    </row>
    <row r="92" spans="1:26" collapsed="1" x14ac:dyDescent="0.2">
      <c r="I92" s="46"/>
      <c r="J92" s="36"/>
      <c r="K92" s="46"/>
      <c r="Q92" s="46"/>
      <c r="W92" s="46"/>
      <c r="Y92" s="12"/>
      <c r="Z92" s="12"/>
    </row>
    <row r="93" spans="1:26" s="36" customFormat="1" hidden="1" x14ac:dyDescent="0.2">
      <c r="A93" s="64"/>
      <c r="B93" s="64" t="s">
        <v>18</v>
      </c>
      <c r="C93" s="64"/>
      <c r="D93" s="64"/>
      <c r="E93" s="66">
        <v>57943</v>
      </c>
      <c r="F93" s="64"/>
      <c r="G93" s="66">
        <v>58359</v>
      </c>
      <c r="H93" s="66"/>
      <c r="I93" s="66">
        <v>51248</v>
      </c>
      <c r="K93" s="66">
        <v>46998</v>
      </c>
      <c r="M93" s="66">
        <f>+M94</f>
        <v>11108</v>
      </c>
      <c r="N93" s="66">
        <v>12200</v>
      </c>
      <c r="O93" s="66">
        <v>12472</v>
      </c>
      <c r="P93" s="66">
        <v>12522</v>
      </c>
      <c r="Q93" s="66">
        <f>+M93+N93+O93+P93</f>
        <v>48302</v>
      </c>
      <c r="S93" s="66">
        <v>11976</v>
      </c>
      <c r="T93" s="66">
        <v>11722</v>
      </c>
      <c r="U93" s="66">
        <v>11742</v>
      </c>
      <c r="V93" s="66">
        <v>11303</v>
      </c>
      <c r="W93" s="66">
        <f>+S93+T93+U93+V93-28</f>
        <v>46715</v>
      </c>
      <c r="X93" s="66"/>
    </row>
    <row r="94" spans="1:26" s="36" customFormat="1" ht="12" hidden="1" customHeight="1" x14ac:dyDescent="0.2">
      <c r="A94" s="64"/>
      <c r="B94" s="64" t="s">
        <v>16</v>
      </c>
      <c r="C94" s="64"/>
      <c r="D94" s="65"/>
      <c r="E94" s="66">
        <v>57994</v>
      </c>
      <c r="F94" s="65"/>
      <c r="G94" s="66">
        <v>58359</v>
      </c>
      <c r="H94" s="65"/>
      <c r="I94" s="66">
        <v>51248</v>
      </c>
      <c r="K94" s="66">
        <v>46998</v>
      </c>
      <c r="M94" s="66">
        <f>11119-11</f>
        <v>11108</v>
      </c>
      <c r="N94" s="66">
        <v>12021</v>
      </c>
      <c r="O94" s="66">
        <v>12279</v>
      </c>
      <c r="P94" s="67">
        <v>12395</v>
      </c>
      <c r="Q94" s="66">
        <f>+M94+N94+O94+P94</f>
        <v>47803</v>
      </c>
      <c r="S94" s="66">
        <v>11867</v>
      </c>
      <c r="T94" s="66">
        <f>11544</f>
        <v>11544</v>
      </c>
      <c r="U94" s="66">
        <f>11519+28</f>
        <v>11547</v>
      </c>
      <c r="V94" s="67">
        <v>0</v>
      </c>
      <c r="W94" s="66">
        <f>+S94+T94+U94+V94-28</f>
        <v>34930</v>
      </c>
      <c r="X94" s="66"/>
    </row>
    <row r="95" spans="1:26" hidden="1" x14ac:dyDescent="0.2">
      <c r="A95" s="64"/>
      <c r="B95" s="64"/>
      <c r="C95" s="64"/>
      <c r="D95" s="64"/>
      <c r="E95" s="64"/>
      <c r="F95" s="64"/>
      <c r="G95" s="64"/>
      <c r="H95" s="64"/>
      <c r="I95" s="64"/>
      <c r="J95" s="36"/>
      <c r="K95" s="64"/>
      <c r="M95" s="64"/>
      <c r="N95" s="64"/>
      <c r="O95" s="64"/>
      <c r="P95" s="64"/>
      <c r="Q95" s="64"/>
      <c r="S95" s="64"/>
      <c r="T95" s="64"/>
      <c r="U95" s="64"/>
      <c r="V95" s="64"/>
      <c r="W95" s="64"/>
    </row>
    <row r="96" spans="1:26" hidden="1" x14ac:dyDescent="0.2">
      <c r="A96" s="64"/>
      <c r="B96" s="64"/>
      <c r="C96" s="64"/>
      <c r="D96" s="64"/>
      <c r="E96" s="68">
        <f>+E12/E94*1000</f>
        <v>71.955719557195565</v>
      </c>
      <c r="F96" s="64"/>
      <c r="G96" s="68">
        <f>+G12/G94*1000</f>
        <v>41.176168200277594</v>
      </c>
      <c r="H96" s="64"/>
      <c r="I96" s="68">
        <f>+I12/I94*1000</f>
        <v>30.186543865126442</v>
      </c>
      <c r="J96" s="36"/>
      <c r="K96" s="68">
        <f>+K12/K94*1000</f>
        <v>42.682667347546705</v>
      </c>
      <c r="M96" s="68">
        <f>+M12/M94*1000</f>
        <v>54.825351098307522</v>
      </c>
      <c r="N96" s="68">
        <f>+N12/N93*1000</f>
        <v>45</v>
      </c>
      <c r="O96" s="68">
        <f>+O12/O93*1000</f>
        <v>66.388710711994875</v>
      </c>
      <c r="P96" s="68">
        <f>+P12/P93*1000</f>
        <v>86.08848426768887</v>
      </c>
      <c r="Q96" s="68">
        <f>+Q12/Q93*1000</f>
        <v>63.434226326032046</v>
      </c>
      <c r="S96" s="68">
        <f>+S12/S93*1000</f>
        <v>57.615230460921843</v>
      </c>
      <c r="T96" s="68">
        <f>+T12/T93*1000</f>
        <v>55.7072171984303</v>
      </c>
      <c r="U96" s="68">
        <f>+U12/U93*1000</f>
        <v>57.996934082779759</v>
      </c>
      <c r="V96" s="68">
        <f>+V12/V93*1000</f>
        <v>53.967973104485537</v>
      </c>
      <c r="W96" s="68">
        <f>+W12/W93*1000</f>
        <v>56.384458953227018</v>
      </c>
    </row>
    <row r="97" spans="1:23" hidden="1" x14ac:dyDescent="0.2">
      <c r="A97" s="64"/>
      <c r="B97" s="64"/>
      <c r="C97" s="64"/>
      <c r="D97" s="64"/>
      <c r="E97" s="68">
        <f>+E22/E94*1000</f>
        <v>112.37369383039625</v>
      </c>
      <c r="F97" s="64"/>
      <c r="G97" s="68">
        <f>+G22/G94*1000</f>
        <v>128.80618242259121</v>
      </c>
      <c r="H97" s="64"/>
      <c r="I97" s="68">
        <f>+I22/I94*1000</f>
        <v>35.903840149859505</v>
      </c>
      <c r="J97" s="36"/>
      <c r="K97" s="68">
        <f>+K22/K94*1000</f>
        <v>41.129409762117533</v>
      </c>
      <c r="M97" s="68">
        <f>+M22/M94*1000</f>
        <v>45.102628736046093</v>
      </c>
      <c r="N97" s="68">
        <f>+N22/N93*1000</f>
        <v>44.0983606557377</v>
      </c>
      <c r="O97" s="68">
        <f>+O22/O93*1000</f>
        <v>51.555484284797949</v>
      </c>
      <c r="P97" s="68">
        <f>+P22/P93*1000</f>
        <v>48.953841239418622</v>
      </c>
      <c r="Q97" s="68">
        <f>+Q22/Q93*1000</f>
        <v>47.513560515092543</v>
      </c>
      <c r="S97" s="68">
        <f>+S22/S93*1000</f>
        <v>52.855711422845687</v>
      </c>
      <c r="T97" s="68">
        <f>+T22/T93*1000</f>
        <v>45.299436956150828</v>
      </c>
      <c r="U97" s="68">
        <f>+U22/U93*1000</f>
        <v>45.392607732924539</v>
      </c>
      <c r="V97" s="68">
        <f>+V22/V93*1000</f>
        <v>44.943820224719097</v>
      </c>
      <c r="W97" s="68">
        <f>+W22/W93*1000</f>
        <v>47.20111313282672</v>
      </c>
    </row>
    <row r="98" spans="1:23" hidden="1" x14ac:dyDescent="0.2">
      <c r="A98" s="64"/>
      <c r="B98" s="64"/>
      <c r="C98" s="64"/>
      <c r="D98" s="64"/>
      <c r="E98" s="68">
        <f>+E24/E94*1000</f>
        <v>-40.41797427320067</v>
      </c>
      <c r="F98" s="64"/>
      <c r="G98" s="68">
        <f>+G24/G94*1000</f>
        <v>-87.630014222313605</v>
      </c>
      <c r="H98" s="64"/>
      <c r="I98" s="68">
        <f>+I24/I94*1000</f>
        <v>-5.7172962847330631</v>
      </c>
      <c r="J98" s="36"/>
      <c r="K98" s="68">
        <f>+K24/K94*1000</f>
        <v>1.553257585429167</v>
      </c>
      <c r="M98" s="68">
        <f>+M24/M94*1000</f>
        <v>9.7227223622614343</v>
      </c>
      <c r="N98" s="68">
        <f>+N24/N93*1000</f>
        <v>0.90163934426229508</v>
      </c>
      <c r="O98" s="68">
        <f>+O24/O93*1000</f>
        <v>14.833226427196921</v>
      </c>
      <c r="P98" s="68">
        <f>+P24/P93*1000</f>
        <v>37.13464302827024</v>
      </c>
      <c r="Q98" s="68">
        <f>+Q24/Q93*1000</f>
        <v>15.920665810939507</v>
      </c>
      <c r="S98" s="68">
        <f>+S24/S93*1000</f>
        <v>4.759519038076153</v>
      </c>
      <c r="T98" s="68">
        <f>+T24/T93*1000</f>
        <v>10.407780242279474</v>
      </c>
      <c r="U98" s="68">
        <f>+U24/U93*1000</f>
        <v>12.604326349855221</v>
      </c>
      <c r="V98" s="68">
        <f>+V24/V93*1000</f>
        <v>9.024152879766433</v>
      </c>
      <c r="W98" s="68">
        <f>+W24/W93*1000</f>
        <v>9.1833458204002998</v>
      </c>
    </row>
    <row r="99" spans="1:23" hidden="1" x14ac:dyDescent="0.2">
      <c r="A99" s="64"/>
      <c r="B99" s="64"/>
      <c r="C99" s="64"/>
      <c r="D99" s="64"/>
      <c r="E99" s="68">
        <f>+E31/E94*1000</f>
        <v>-41.745697830810087</v>
      </c>
      <c r="F99" s="64"/>
      <c r="G99" s="68">
        <f>+G31/G94*1000</f>
        <v>-93.832999194640067</v>
      </c>
      <c r="H99" s="64"/>
      <c r="I99" s="68">
        <f>+I31/I94*1000</f>
        <v>3.9221042772400878</v>
      </c>
      <c r="J99" s="36"/>
      <c r="K99" s="68">
        <f>+K31/K94*1000</f>
        <v>-5.5747053066087924</v>
      </c>
      <c r="M99" s="68">
        <f>+M31/M94*1000</f>
        <v>0.81022686352178608</v>
      </c>
      <c r="N99" s="68">
        <f>+N31/N93*1000</f>
        <v>-5.1639344262295088</v>
      </c>
      <c r="O99" s="68">
        <f>+O31/O93*1000</f>
        <v>7.2963438101347018</v>
      </c>
      <c r="P99" s="68">
        <f>+P31/P93*1000</f>
        <v>31.304903370068679</v>
      </c>
      <c r="Q99" s="68">
        <f>+Q31/Q93*1000</f>
        <v>8.881619808703574</v>
      </c>
      <c r="S99" s="68">
        <f>+S31/S93*1000</f>
        <v>-3.6740146960587841</v>
      </c>
      <c r="T99" s="68">
        <f>+T31/T93*1000</f>
        <v>3.49769663879884</v>
      </c>
      <c r="U99" s="68">
        <f>+U31/U93*1000</f>
        <v>10.81587463805144</v>
      </c>
      <c r="V99" s="68">
        <f>+V31/V93*1000</f>
        <v>-2.1233300893568079</v>
      </c>
      <c r="W99" s="68">
        <f>+W31/W93*1000</f>
        <v>2.1406400513753612</v>
      </c>
    </row>
    <row r="100" spans="1:23" hidden="1" x14ac:dyDescent="0.2">
      <c r="A100" s="64"/>
      <c r="B100" s="64"/>
      <c r="C100" s="64"/>
      <c r="D100" s="64"/>
      <c r="E100" s="68">
        <f>+E33/E94*1000</f>
        <v>-24.726695865089493</v>
      </c>
      <c r="F100" s="64"/>
      <c r="G100" s="68">
        <f>+G33/G94*1000</f>
        <v>-60.89891876145925</v>
      </c>
      <c r="H100" s="64"/>
      <c r="I100" s="68">
        <f>+I33/I94*1000</f>
        <v>5.4441148922884803</v>
      </c>
      <c r="J100" s="36"/>
      <c r="K100" s="68">
        <f>+K33/K94*1000</f>
        <v>-5.5747053066087924</v>
      </c>
      <c r="M100" s="68">
        <f>+M33/M94*1000</f>
        <v>0.81022686352178608</v>
      </c>
      <c r="N100" s="68">
        <f>+N33/N93*1000</f>
        <v>-5.1639344262295088</v>
      </c>
      <c r="O100" s="68">
        <f>+O33/O93*1000</f>
        <v>7.2963438101347018</v>
      </c>
      <c r="P100" s="68">
        <f>+P33/P93*1000</f>
        <v>31.304903370068679</v>
      </c>
      <c r="Q100" s="68">
        <f>+Q33/Q93*1000</f>
        <v>8.881619808703574</v>
      </c>
      <c r="S100" s="68">
        <f>+S33/S93*1000</f>
        <v>-3.6740146960587841</v>
      </c>
      <c r="T100" s="68">
        <f>+T33/T93*1000</f>
        <v>3.49769663879884</v>
      </c>
      <c r="U100" s="68">
        <f>+U33/U93*1000</f>
        <v>10.81587463805144</v>
      </c>
      <c r="V100" s="68">
        <f>+V33/V93*1000</f>
        <v>-2.2118021764133413</v>
      </c>
      <c r="W100" s="68">
        <f>+W33/W93*1000</f>
        <v>2.1192336508616076</v>
      </c>
    </row>
    <row r="101" spans="1:23" hidden="1" x14ac:dyDescent="0.2">
      <c r="A101" s="64"/>
      <c r="B101" s="64"/>
      <c r="C101" s="64"/>
      <c r="D101" s="64"/>
      <c r="E101" s="68"/>
      <c r="F101" s="64"/>
      <c r="G101" s="68"/>
      <c r="H101" s="64"/>
      <c r="I101" s="68"/>
      <c r="J101" s="36"/>
      <c r="K101" s="68">
        <f>+K35/K94*1000</f>
        <v>0</v>
      </c>
      <c r="M101" s="68">
        <f>+M35/M94*1000</f>
        <v>0</v>
      </c>
      <c r="N101" s="68">
        <f>+N35/N93*1000</f>
        <v>0</v>
      </c>
      <c r="O101" s="68">
        <f>+O35/O93*1000</f>
        <v>0</v>
      </c>
      <c r="P101" s="68">
        <f>+P35/P93*1000</f>
        <v>0</v>
      </c>
      <c r="Q101" s="68">
        <f>+Q35/Q93*1000</f>
        <v>0</v>
      </c>
      <c r="S101" s="68">
        <f>+S35/S93*1000</f>
        <v>0</v>
      </c>
      <c r="T101" s="68">
        <f>+T35/T93*1000</f>
        <v>0</v>
      </c>
      <c r="U101" s="68">
        <f>+U35/U93*1000</f>
        <v>0</v>
      </c>
      <c r="V101" s="68">
        <f>+V35/V93*1000</f>
        <v>0</v>
      </c>
      <c r="W101" s="68">
        <f>+W35/W93*1000</f>
        <v>0</v>
      </c>
    </row>
    <row r="102" spans="1:23" hidden="1" x14ac:dyDescent="0.2">
      <c r="K102" s="68">
        <f>+K40/K94*1000</f>
        <v>-5.6598153112898419</v>
      </c>
      <c r="M102" s="68">
        <f>+M40/M94*1000</f>
        <v>-0.18005041411595249</v>
      </c>
      <c r="N102" s="68">
        <f>+N40/N93*1000</f>
        <v>-6.721311475409836</v>
      </c>
      <c r="O102" s="68">
        <f>+O40/O93*1000</f>
        <v>5.2918537524053884</v>
      </c>
      <c r="P102" s="68">
        <f>+P40/P93*1000</f>
        <v>27.631368790927965</v>
      </c>
      <c r="Q102" s="68">
        <f>+Q40/Q93*1000</f>
        <v>6.790609084509958</v>
      </c>
      <c r="S102" s="68">
        <f>+S40/S93*1000</f>
        <v>-5.5945223780895121</v>
      </c>
      <c r="T102" s="68">
        <f>+T40/T93*1000</f>
        <v>1.0237160894045385</v>
      </c>
      <c r="U102" s="68">
        <f>+U40/U93*1000</f>
        <v>8.0054505195026398</v>
      </c>
      <c r="V102" s="68">
        <f>+V40/V93*1000</f>
        <v>-5.9276298327877557</v>
      </c>
      <c r="W102" s="68">
        <f>+W40/W93*1000</f>
        <v>-0.59937921438510122</v>
      </c>
    </row>
    <row r="103" spans="1:23" hidden="1" x14ac:dyDescent="0.2">
      <c r="N103" s="34"/>
      <c r="Q103" s="34"/>
      <c r="T103" s="34"/>
      <c r="W103" s="34"/>
    </row>
    <row r="104" spans="1:23" hidden="1" x14ac:dyDescent="0.2">
      <c r="N104" s="34"/>
      <c r="Q104" s="34"/>
      <c r="T104" s="34"/>
      <c r="W104" s="34"/>
    </row>
    <row r="105" spans="1:23" hidden="1" x14ac:dyDescent="0.2">
      <c r="N105" s="34"/>
      <c r="Q105" s="34"/>
      <c r="T105" s="34"/>
      <c r="U105">
        <v>11742</v>
      </c>
      <c r="W105" s="34">
        <v>35412</v>
      </c>
    </row>
    <row r="106" spans="1:23" hidden="1" x14ac:dyDescent="0.2">
      <c r="N106" s="34"/>
      <c r="Q106" s="34"/>
      <c r="T106" s="34"/>
      <c r="U106">
        <v>11547</v>
      </c>
      <c r="W106" s="34">
        <v>34930</v>
      </c>
    </row>
    <row r="107" spans="1:23" hidden="1" x14ac:dyDescent="0.2">
      <c r="N107" s="34"/>
      <c r="Q107" s="34"/>
      <c r="T107" s="34"/>
      <c r="W107" s="34"/>
    </row>
    <row r="108" spans="1:23" x14ac:dyDescent="0.2">
      <c r="N108" s="34"/>
      <c r="Q108" s="34"/>
      <c r="T108" s="34"/>
      <c r="W108" s="34"/>
    </row>
    <row r="109" spans="1:23" x14ac:dyDescent="0.2">
      <c r="N109" s="34"/>
      <c r="Q109" s="34"/>
      <c r="T109" s="34"/>
      <c r="W109" s="34"/>
    </row>
  </sheetData>
  <pageMargins left="0.5" right="0.5" top="0.5" bottom="0.3" header="0" footer="0"/>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32"/>
  <sheetViews>
    <sheetView showGridLines="0" workbookViewId="0">
      <selection activeCell="J44" sqref="J44"/>
    </sheetView>
  </sheetViews>
  <sheetFormatPr defaultRowHeight="12.75" x14ac:dyDescent="0.2"/>
  <cols>
    <col min="1" max="1" width="4" customWidth="1"/>
    <col min="2" max="2" width="4.28515625" customWidth="1"/>
    <col min="3" max="3" width="25.42578125" customWidth="1"/>
    <col min="4" max="4" width="7.7109375" customWidth="1"/>
    <col min="5" max="5" width="2" customWidth="1"/>
    <col min="6" max="6" width="7.7109375" customWidth="1"/>
    <col min="7" max="7" width="2.28515625" customWidth="1"/>
    <col min="8" max="8" width="7.7109375" customWidth="1"/>
    <col min="9" max="9" width="2.85546875" customWidth="1"/>
    <col min="10" max="10" width="8.7109375" customWidth="1"/>
    <col min="11" max="11" width="3.42578125" customWidth="1"/>
    <col min="12" max="16" width="8.7109375" customWidth="1"/>
    <col min="17" max="17" width="3.28515625" customWidth="1"/>
    <col min="18" max="22" width="8.7109375" customWidth="1"/>
  </cols>
  <sheetData>
    <row r="1" spans="1:22" x14ac:dyDescent="0.2">
      <c r="A1" t="s">
        <v>22</v>
      </c>
    </row>
    <row r="2" spans="1:22" ht="18" x14ac:dyDescent="0.25">
      <c r="B2" s="24" t="s">
        <v>0</v>
      </c>
    </row>
    <row r="5" spans="1:22" s="12" customFormat="1" ht="16.5" thickBot="1" x14ac:dyDescent="0.3">
      <c r="B5" s="26" t="s">
        <v>77</v>
      </c>
      <c r="C5" s="27"/>
      <c r="D5" s="27"/>
      <c r="E5" s="27"/>
      <c r="F5" s="27"/>
      <c r="G5" s="27"/>
      <c r="H5" s="28"/>
      <c r="I5" s="28"/>
      <c r="J5" s="28"/>
      <c r="K5" s="28"/>
      <c r="L5" s="28"/>
      <c r="M5" s="28"/>
      <c r="N5" s="28"/>
      <c r="O5" s="28"/>
      <c r="P5" s="28"/>
      <c r="R5" s="28"/>
      <c r="S5" s="28"/>
      <c r="T5" s="28"/>
      <c r="U5" s="28"/>
      <c r="V5" s="28"/>
    </row>
    <row r="6" spans="1:22" s="12" customFormat="1" ht="6" customHeight="1" thickTop="1" x14ac:dyDescent="0.2">
      <c r="A6" s="13"/>
      <c r="B6"/>
      <c r="C6" s="14"/>
      <c r="D6"/>
      <c r="E6" s="16"/>
      <c r="F6" s="15"/>
      <c r="G6" s="16"/>
    </row>
    <row r="7" spans="1:22" s="12" customFormat="1" x14ac:dyDescent="0.2">
      <c r="A7" s="13"/>
      <c r="B7"/>
      <c r="C7" s="14"/>
      <c r="D7" s="33">
        <v>2014</v>
      </c>
      <c r="E7" s="29"/>
      <c r="F7" s="33">
        <v>2015</v>
      </c>
      <c r="G7" s="29"/>
      <c r="H7" s="33">
        <v>2016</v>
      </c>
      <c r="I7" s="43"/>
      <c r="J7" s="33">
        <v>2017</v>
      </c>
      <c r="L7" s="33" t="s">
        <v>45</v>
      </c>
      <c r="M7" s="33" t="s">
        <v>46</v>
      </c>
      <c r="N7" s="33" t="s">
        <v>47</v>
      </c>
      <c r="O7" s="33" t="s">
        <v>48</v>
      </c>
      <c r="P7" s="33" t="s">
        <v>1</v>
      </c>
      <c r="R7" s="33" t="s">
        <v>68</v>
      </c>
      <c r="S7" s="33" t="s">
        <v>69</v>
      </c>
      <c r="T7" s="33" t="s">
        <v>70</v>
      </c>
      <c r="U7" s="33" t="s">
        <v>71</v>
      </c>
      <c r="V7" s="33" t="s">
        <v>1</v>
      </c>
    </row>
    <row r="8" spans="1:22" s="12" customFormat="1" x14ac:dyDescent="0.2">
      <c r="B8" s="37" t="s">
        <v>8</v>
      </c>
      <c r="C8" s="17"/>
      <c r="D8"/>
      <c r="E8"/>
      <c r="F8"/>
      <c r="G8"/>
    </row>
    <row r="9" spans="1:22" s="12" customFormat="1" x14ac:dyDescent="0.2">
      <c r="B9" s="5" t="s">
        <v>11</v>
      </c>
      <c r="C9" s="17"/>
      <c r="D9" s="22">
        <v>63.764383561643832</v>
      </c>
      <c r="E9" s="22"/>
      <c r="F9" s="22">
        <v>64</v>
      </c>
      <c r="G9" s="22"/>
      <c r="H9" s="18">
        <v>57</v>
      </c>
      <c r="J9" s="77">
        <v>52</v>
      </c>
      <c r="L9" s="18">
        <v>49</v>
      </c>
      <c r="M9" s="77">
        <v>54</v>
      </c>
      <c r="N9" s="77">
        <v>54</v>
      </c>
      <c r="O9" s="77">
        <v>56</v>
      </c>
      <c r="P9" s="77">
        <v>53</v>
      </c>
      <c r="R9" s="18">
        <v>55</v>
      </c>
      <c r="S9" s="77">
        <v>52</v>
      </c>
      <c r="T9" s="77">
        <v>51</v>
      </c>
      <c r="U9" s="77">
        <v>50</v>
      </c>
      <c r="V9" s="77">
        <v>52</v>
      </c>
    </row>
    <row r="10" spans="1:22" s="12" customFormat="1" x14ac:dyDescent="0.2">
      <c r="B10" s="5" t="s">
        <v>12</v>
      </c>
      <c r="C10" s="17"/>
      <c r="D10" s="22">
        <v>29.260273972602739</v>
      </c>
      <c r="E10" s="22"/>
      <c r="F10" s="22">
        <v>34</v>
      </c>
      <c r="G10" s="22"/>
      <c r="H10" s="18">
        <v>29</v>
      </c>
      <c r="J10" s="77">
        <v>27</v>
      </c>
      <c r="L10" s="18">
        <v>24</v>
      </c>
      <c r="M10" s="77">
        <v>25</v>
      </c>
      <c r="N10" s="77">
        <v>26</v>
      </c>
      <c r="O10" s="77">
        <v>26</v>
      </c>
      <c r="P10" s="77">
        <v>25</v>
      </c>
      <c r="R10" s="18">
        <v>25</v>
      </c>
      <c r="S10" s="77">
        <v>23</v>
      </c>
      <c r="T10" s="77">
        <v>24</v>
      </c>
      <c r="U10" s="77">
        <v>23</v>
      </c>
      <c r="V10" s="77">
        <v>24</v>
      </c>
    </row>
    <row r="11" spans="1:22" s="12" customFormat="1" x14ac:dyDescent="0.2">
      <c r="B11" s="5" t="s">
        <v>13</v>
      </c>
      <c r="C11" s="17"/>
      <c r="D11" s="22">
        <v>6.2520547945205482</v>
      </c>
      <c r="E11" s="22"/>
      <c r="F11" s="22">
        <v>6</v>
      </c>
      <c r="G11" s="22"/>
      <c r="H11" s="18">
        <v>5</v>
      </c>
      <c r="J11" s="77">
        <v>4</v>
      </c>
      <c r="L11" s="18">
        <v>4</v>
      </c>
      <c r="M11" s="77">
        <v>4</v>
      </c>
      <c r="N11" s="77">
        <v>4</v>
      </c>
      <c r="O11" s="77">
        <v>4</v>
      </c>
      <c r="P11" s="77">
        <v>4</v>
      </c>
      <c r="R11" s="18">
        <v>4</v>
      </c>
      <c r="S11" s="77">
        <v>4</v>
      </c>
      <c r="T11" s="77">
        <v>4</v>
      </c>
      <c r="U11" s="77">
        <v>3</v>
      </c>
      <c r="V11" s="77">
        <v>4</v>
      </c>
    </row>
    <row r="12" spans="1:22" s="12" customFormat="1" x14ac:dyDescent="0.2">
      <c r="B12" s="5" t="s">
        <v>15</v>
      </c>
      <c r="C12" s="17"/>
      <c r="D12" s="19">
        <f>SUM(D9:D11)</f>
        <v>99.276712328767118</v>
      </c>
      <c r="E12" s="22"/>
      <c r="F12" s="19">
        <f>SUM(F9:F11)</f>
        <v>104</v>
      </c>
      <c r="G12" s="53"/>
      <c r="H12" s="19">
        <f>SUM(H9:H11)</f>
        <v>91</v>
      </c>
      <c r="I12"/>
      <c r="J12" s="81">
        <f>SUM(J9:J11)</f>
        <v>83</v>
      </c>
      <c r="K12" s="32"/>
      <c r="L12" s="19">
        <f>SUM(L9:L11)</f>
        <v>77</v>
      </c>
      <c r="M12" s="19">
        <f>SUM(M9:M11)</f>
        <v>83</v>
      </c>
      <c r="N12" s="19">
        <f>SUM(N9:N11)</f>
        <v>84</v>
      </c>
      <c r="O12" s="19">
        <f>SUM(O9:O11)</f>
        <v>86</v>
      </c>
      <c r="P12" s="19">
        <f>SUM(P9:P11)</f>
        <v>82</v>
      </c>
      <c r="R12" s="19">
        <f>SUM(R9:R11)</f>
        <v>84</v>
      </c>
      <c r="S12" s="19">
        <f>SUM(S9:S11)</f>
        <v>79</v>
      </c>
      <c r="T12" s="81">
        <f>SUM(T9:T11)</f>
        <v>79</v>
      </c>
      <c r="U12" s="81">
        <f>SUM(U9:U11)</f>
        <v>76</v>
      </c>
      <c r="V12" s="81">
        <f>SUM(V9:V11)</f>
        <v>80</v>
      </c>
    </row>
    <row r="13" spans="1:22" s="12" customFormat="1" x14ac:dyDescent="0.2">
      <c r="B13" s="20"/>
      <c r="C13" s="8"/>
      <c r="D13" s="22"/>
      <c r="E13" s="22"/>
      <c r="F13" s="22"/>
      <c r="G13" s="22"/>
      <c r="H13" s="32"/>
      <c r="J13" s="82"/>
      <c r="L13" s="32"/>
      <c r="M13" s="32"/>
      <c r="N13" s="32"/>
      <c r="O13" s="82"/>
      <c r="P13" s="82"/>
      <c r="R13" s="32"/>
      <c r="S13" s="32"/>
      <c r="T13" s="82"/>
      <c r="U13" s="82"/>
      <c r="V13" s="82"/>
    </row>
    <row r="14" spans="1:22" s="12" customFormat="1" x14ac:dyDescent="0.2">
      <c r="B14" s="37" t="s">
        <v>9</v>
      </c>
      <c r="C14" s="17"/>
      <c r="D14" s="22"/>
      <c r="E14" s="22"/>
      <c r="F14" s="22"/>
      <c r="G14" s="22"/>
      <c r="H14" s="32"/>
      <c r="J14" s="82"/>
      <c r="L14" s="32"/>
      <c r="M14" s="32"/>
      <c r="N14" s="32"/>
      <c r="O14" s="82"/>
      <c r="P14" s="82"/>
      <c r="R14" s="32"/>
      <c r="S14" s="32"/>
      <c r="T14" s="82"/>
      <c r="U14" s="82"/>
      <c r="V14" s="82"/>
    </row>
    <row r="15" spans="1:22" s="12" customFormat="1" x14ac:dyDescent="0.2">
      <c r="B15" s="5" t="s">
        <v>11</v>
      </c>
      <c r="C15" s="17"/>
      <c r="D15" s="22">
        <v>17.504109589041096</v>
      </c>
      <c r="E15" s="22"/>
      <c r="F15" s="22">
        <v>17</v>
      </c>
      <c r="G15" s="22"/>
      <c r="H15" s="18">
        <v>15</v>
      </c>
      <c r="J15" s="77">
        <v>15</v>
      </c>
      <c r="L15" s="18">
        <v>15</v>
      </c>
      <c r="M15" s="18">
        <v>15</v>
      </c>
      <c r="N15" s="18">
        <v>16</v>
      </c>
      <c r="O15" s="77">
        <v>15</v>
      </c>
      <c r="P15" s="77">
        <v>15</v>
      </c>
      <c r="R15" s="18">
        <v>14</v>
      </c>
      <c r="S15" s="18">
        <v>15</v>
      </c>
      <c r="T15" s="77">
        <v>16</v>
      </c>
      <c r="U15" s="77">
        <v>15</v>
      </c>
      <c r="V15" s="77">
        <v>15</v>
      </c>
    </row>
    <row r="16" spans="1:22" s="12" customFormat="1" x14ac:dyDescent="0.2">
      <c r="B16" s="5" t="s">
        <v>13</v>
      </c>
      <c r="C16" s="17"/>
      <c r="D16" s="22">
        <v>1</v>
      </c>
      <c r="E16" s="22"/>
      <c r="F16" s="22">
        <v>1</v>
      </c>
      <c r="G16" s="22"/>
      <c r="H16" s="18">
        <v>1</v>
      </c>
      <c r="J16" s="77">
        <v>1</v>
      </c>
      <c r="L16" s="18">
        <v>1</v>
      </c>
      <c r="M16" s="18">
        <v>1</v>
      </c>
      <c r="N16" s="18">
        <v>1</v>
      </c>
      <c r="O16" s="77">
        <v>1</v>
      </c>
      <c r="P16" s="77">
        <v>1</v>
      </c>
      <c r="R16" s="18">
        <v>1</v>
      </c>
      <c r="S16" s="18">
        <v>1</v>
      </c>
      <c r="T16" s="77">
        <v>0</v>
      </c>
      <c r="U16" s="77">
        <v>0</v>
      </c>
      <c r="V16" s="77">
        <v>0</v>
      </c>
    </row>
    <row r="17" spans="2:23" s="12" customFormat="1" x14ac:dyDescent="0.2">
      <c r="B17" s="5" t="s">
        <v>15</v>
      </c>
      <c r="C17" s="17"/>
      <c r="D17" s="21">
        <f>SUM(D15:D16)</f>
        <v>18.504109589041096</v>
      </c>
      <c r="E17" s="22"/>
      <c r="F17" s="21">
        <f>SUM(F15:F16)</f>
        <v>18</v>
      </c>
      <c r="G17" s="53"/>
      <c r="H17" s="21">
        <f>SUM(H15:H16)</f>
        <v>16</v>
      </c>
      <c r="I17"/>
      <c r="J17" s="83">
        <f>SUM(J15:J16)</f>
        <v>16</v>
      </c>
      <c r="L17" s="21">
        <f>SUM(L15:L16)</f>
        <v>16</v>
      </c>
      <c r="M17" s="21">
        <f>SUM(M15:M16)</f>
        <v>16</v>
      </c>
      <c r="N17" s="21">
        <f>SUM(N15:N16)</f>
        <v>17</v>
      </c>
      <c r="O17" s="21">
        <f>SUM(O15:O16)</f>
        <v>16</v>
      </c>
      <c r="P17" s="21">
        <f>SUM(P15:P16)</f>
        <v>16</v>
      </c>
      <c r="R17" s="21">
        <f>SUM(R15:R16)</f>
        <v>15</v>
      </c>
      <c r="S17" s="21">
        <f>SUM(S15:S16)</f>
        <v>16</v>
      </c>
      <c r="T17" s="83">
        <f>SUM(T15:T16)</f>
        <v>16</v>
      </c>
      <c r="U17" s="83">
        <f>SUM(U15:U16)</f>
        <v>15</v>
      </c>
      <c r="V17" s="83">
        <f>SUM(V15:V16)</f>
        <v>15</v>
      </c>
    </row>
    <row r="18" spans="2:23" s="12" customFormat="1" x14ac:dyDescent="0.2">
      <c r="B18" s="20"/>
      <c r="C18" s="8"/>
      <c r="D18" s="22"/>
      <c r="E18" s="22"/>
      <c r="F18" s="22"/>
      <c r="G18" s="22"/>
      <c r="H18" s="32"/>
      <c r="J18" s="82"/>
      <c r="L18" s="32"/>
      <c r="M18" s="32"/>
      <c r="N18" s="32"/>
      <c r="O18" s="82"/>
      <c r="P18" s="82"/>
      <c r="R18" s="32"/>
      <c r="S18" s="32"/>
      <c r="T18" s="82"/>
      <c r="U18" s="82"/>
      <c r="V18" s="82"/>
    </row>
    <row r="19" spans="2:23" s="12" customFormat="1" x14ac:dyDescent="0.2">
      <c r="B19" s="38" t="s">
        <v>10</v>
      </c>
      <c r="C19"/>
      <c r="D19" s="22"/>
      <c r="E19" s="22"/>
      <c r="F19" s="22"/>
      <c r="G19" s="22"/>
      <c r="H19" s="32"/>
      <c r="J19" s="82"/>
      <c r="L19" s="32"/>
      <c r="M19" s="32"/>
      <c r="N19" s="32"/>
      <c r="O19" s="82"/>
      <c r="P19" s="82"/>
      <c r="R19" s="32"/>
      <c r="S19" s="32"/>
      <c r="T19" s="82"/>
      <c r="U19" s="82"/>
      <c r="V19" s="82"/>
    </row>
    <row r="20" spans="2:23" s="12" customFormat="1" x14ac:dyDescent="0.2">
      <c r="B20" s="5" t="s">
        <v>11</v>
      </c>
      <c r="C20" s="22"/>
      <c r="D20" s="22">
        <v>179.7917808219178</v>
      </c>
      <c r="E20" s="22"/>
      <c r="F20" s="22">
        <v>172</v>
      </c>
      <c r="G20" s="22"/>
      <c r="H20" s="18">
        <v>150</v>
      </c>
      <c r="J20" s="77">
        <v>140</v>
      </c>
      <c r="L20" s="18">
        <v>143</v>
      </c>
      <c r="M20" s="18">
        <v>172</v>
      </c>
      <c r="N20" s="18">
        <v>172</v>
      </c>
      <c r="O20" s="77">
        <v>168</v>
      </c>
      <c r="P20" s="77">
        <v>165</v>
      </c>
      <c r="R20" s="18">
        <v>165</v>
      </c>
      <c r="S20" s="18">
        <v>164</v>
      </c>
      <c r="T20" s="77">
        <v>162</v>
      </c>
      <c r="U20" s="77">
        <v>157</v>
      </c>
      <c r="V20" s="77">
        <v>162</v>
      </c>
    </row>
    <row r="21" spans="2:23" s="12" customFormat="1" x14ac:dyDescent="0.2">
      <c r="B21" s="5" t="s">
        <v>12</v>
      </c>
      <c r="C21"/>
      <c r="D21" s="22">
        <v>1.2547945205479452</v>
      </c>
      <c r="E21" s="22"/>
      <c r="F21" s="22">
        <v>2</v>
      </c>
      <c r="G21" s="22"/>
      <c r="H21" s="18">
        <v>3</v>
      </c>
      <c r="J21" s="77">
        <v>1</v>
      </c>
      <c r="L21" s="18">
        <v>1</v>
      </c>
      <c r="M21" s="18">
        <v>1</v>
      </c>
      <c r="N21" s="18">
        <v>1</v>
      </c>
      <c r="O21" s="77">
        <v>2</v>
      </c>
      <c r="P21" s="77">
        <v>1</v>
      </c>
      <c r="R21" s="18">
        <v>2</v>
      </c>
      <c r="S21" s="18">
        <v>3</v>
      </c>
      <c r="T21" s="77">
        <v>2</v>
      </c>
      <c r="U21" s="77">
        <v>2</v>
      </c>
      <c r="V21" s="77">
        <v>2</v>
      </c>
    </row>
    <row r="22" spans="2:23" s="12" customFormat="1" x14ac:dyDescent="0.2">
      <c r="B22" s="5" t="s">
        <v>13</v>
      </c>
      <c r="C22"/>
      <c r="D22" s="22">
        <v>11</v>
      </c>
      <c r="E22" s="22"/>
      <c r="F22" s="22">
        <v>11</v>
      </c>
      <c r="G22" s="22"/>
      <c r="H22" s="18">
        <v>8</v>
      </c>
      <c r="J22" s="77">
        <v>8</v>
      </c>
      <c r="L22" s="18">
        <v>7</v>
      </c>
      <c r="M22" s="18">
        <v>8</v>
      </c>
      <c r="N22" s="18">
        <v>6</v>
      </c>
      <c r="O22" s="77">
        <v>7</v>
      </c>
      <c r="P22" s="77">
        <v>7</v>
      </c>
      <c r="R22" s="18">
        <v>7</v>
      </c>
      <c r="S22" s="18">
        <v>6</v>
      </c>
      <c r="T22" s="77">
        <v>4</v>
      </c>
      <c r="U22" s="77">
        <v>5</v>
      </c>
      <c r="V22" s="77">
        <v>5</v>
      </c>
    </row>
    <row r="23" spans="2:23" s="12" customFormat="1" x14ac:dyDescent="0.2">
      <c r="B23" s="5" t="s">
        <v>14</v>
      </c>
      <c r="C23"/>
      <c r="D23" s="22">
        <v>54</v>
      </c>
      <c r="E23" s="22"/>
      <c r="F23" s="22">
        <v>44</v>
      </c>
      <c r="G23" s="22"/>
      <c r="H23" s="18">
        <v>36</v>
      </c>
      <c r="J23" s="77">
        <v>33</v>
      </c>
      <c r="L23" s="18">
        <v>31</v>
      </c>
      <c r="M23" s="18">
        <v>29</v>
      </c>
      <c r="N23" s="18">
        <v>29</v>
      </c>
      <c r="O23" s="77">
        <v>27</v>
      </c>
      <c r="P23" s="77">
        <v>29</v>
      </c>
      <c r="R23" s="18">
        <v>28</v>
      </c>
      <c r="S23" s="18">
        <v>30</v>
      </c>
      <c r="T23" s="77">
        <v>28</v>
      </c>
      <c r="U23" s="77">
        <v>26</v>
      </c>
      <c r="V23" s="77">
        <v>28</v>
      </c>
    </row>
    <row r="24" spans="2:23" s="12" customFormat="1" x14ac:dyDescent="0.2">
      <c r="B24" s="5" t="s">
        <v>15</v>
      </c>
      <c r="C24"/>
      <c r="D24" s="21">
        <f>SUM(D20:D23)</f>
        <v>246.04657534246573</v>
      </c>
      <c r="E24" s="22"/>
      <c r="F24" s="21">
        <f>SUM(F20:F23)</f>
        <v>229</v>
      </c>
      <c r="G24" s="53"/>
      <c r="H24" s="21">
        <f>SUM(H20:H23)</f>
        <v>197</v>
      </c>
      <c r="I24"/>
      <c r="J24" s="83">
        <f>SUM(J20:J23)</f>
        <v>182</v>
      </c>
      <c r="L24" s="21">
        <f>SUM(L20:L23)</f>
        <v>182</v>
      </c>
      <c r="M24" s="21">
        <f>SUM(M20:M23)</f>
        <v>210</v>
      </c>
      <c r="N24" s="21">
        <f>SUM(N20:N23)</f>
        <v>208</v>
      </c>
      <c r="O24" s="21">
        <f>SUM(O20:O23)</f>
        <v>204</v>
      </c>
      <c r="P24" s="21">
        <f>SUM(P20:P23)</f>
        <v>202</v>
      </c>
      <c r="R24" s="21">
        <f>SUM(R20:R23)</f>
        <v>202</v>
      </c>
      <c r="S24" s="21">
        <f>SUM(S20:S23)</f>
        <v>203</v>
      </c>
      <c r="T24" s="83">
        <f>SUM(T20:T23)</f>
        <v>196</v>
      </c>
      <c r="U24" s="83">
        <f>SUM(U20:U23)</f>
        <v>190</v>
      </c>
      <c r="V24" s="83">
        <f>SUM(V20:V23)</f>
        <v>197</v>
      </c>
      <c r="W24" s="86"/>
    </row>
    <row r="25" spans="2:23" s="12" customFormat="1" x14ac:dyDescent="0.2">
      <c r="B25"/>
      <c r="C25"/>
      <c r="D25" s="22"/>
      <c r="E25" s="22"/>
      <c r="F25" s="22"/>
      <c r="G25" s="22"/>
      <c r="H25" s="32"/>
      <c r="J25" s="82"/>
      <c r="L25" s="32"/>
      <c r="M25" s="32"/>
      <c r="N25" s="32"/>
      <c r="O25" s="82"/>
      <c r="P25" s="82"/>
      <c r="R25" s="32"/>
      <c r="S25" s="32"/>
      <c r="T25" s="82"/>
      <c r="U25" s="82"/>
      <c r="V25" s="82"/>
    </row>
    <row r="26" spans="2:23" s="12" customFormat="1" ht="15" thickBot="1" x14ac:dyDescent="0.25">
      <c r="B26" s="23" t="s">
        <v>38</v>
      </c>
      <c r="C26"/>
      <c r="D26" s="62">
        <f>D12+D17+(D24/6)</f>
        <v>158.78858447488582</v>
      </c>
      <c r="E26" s="22"/>
      <c r="F26" s="62">
        <f>F12+F17+(F24/6)</f>
        <v>160.16666666666666</v>
      </c>
      <c r="G26" s="53"/>
      <c r="H26" s="62">
        <f>H12+H17+(H24/6)</f>
        <v>139.83333333333334</v>
      </c>
      <c r="I26"/>
      <c r="J26" s="84">
        <f>J12+J17+(J24/6)</f>
        <v>129.33333333333334</v>
      </c>
      <c r="L26" s="62">
        <f>L12+L17+(L24/6)</f>
        <v>123.33333333333333</v>
      </c>
      <c r="M26" s="62">
        <f>M12+M17+(M24/6)</f>
        <v>134</v>
      </c>
      <c r="N26" s="62">
        <f>N12+N17+(N24/6)</f>
        <v>135.66666666666666</v>
      </c>
      <c r="O26" s="62">
        <f>O12+O17+(O24/6)</f>
        <v>136</v>
      </c>
      <c r="P26" s="62">
        <f>P12+P17+(P24/6)</f>
        <v>131.66666666666666</v>
      </c>
      <c r="R26" s="62">
        <f>R12+R17+(R24/6)</f>
        <v>132.66666666666666</v>
      </c>
      <c r="S26" s="62">
        <f>S12+S17+(S24/6)</f>
        <v>128.83333333333334</v>
      </c>
      <c r="T26" s="84">
        <f>T12+T17+(T24/6)</f>
        <v>127.66666666666666</v>
      </c>
      <c r="U26" s="84">
        <f>U12+U17+(U24/6)</f>
        <v>122.66666666666667</v>
      </c>
      <c r="V26" s="84">
        <f>V12+V17+(V24/6)</f>
        <v>127.83333333333334</v>
      </c>
      <c r="W26" s="32"/>
    </row>
    <row r="27" spans="2:23" s="12" customFormat="1" ht="13.5" thickTop="1" x14ac:dyDescent="0.2">
      <c r="B27" s="23"/>
      <c r="C27"/>
      <c r="D27" s="16"/>
      <c r="E27" s="22"/>
      <c r="F27" s="16"/>
      <c r="G27" s="53"/>
      <c r="H27" s="16"/>
      <c r="I27"/>
      <c r="J27" s="86"/>
      <c r="L27" s="16"/>
      <c r="M27" s="16"/>
      <c r="N27" s="16"/>
      <c r="O27" s="86"/>
      <c r="P27" s="86"/>
      <c r="R27" s="16"/>
      <c r="S27" s="16"/>
      <c r="T27" s="86"/>
      <c r="U27" s="86"/>
      <c r="V27" s="77"/>
    </row>
    <row r="28" spans="2:23" x14ac:dyDescent="0.2">
      <c r="T28" s="36"/>
      <c r="U28" s="36"/>
      <c r="V28" s="36"/>
    </row>
    <row r="29" spans="2:23" x14ac:dyDescent="0.2">
      <c r="B29" s="85" t="s">
        <v>41</v>
      </c>
    </row>
    <row r="30" spans="2:23" ht="4.1500000000000004" customHeight="1" x14ac:dyDescent="0.2">
      <c r="B30" s="85"/>
    </row>
    <row r="31" spans="2:23" x14ac:dyDescent="0.2">
      <c r="B31" s="85" t="s">
        <v>39</v>
      </c>
    </row>
    <row r="32" spans="2:23" x14ac:dyDescent="0.2">
      <c r="B32" s="85" t="s">
        <v>40</v>
      </c>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heetViews>
  <sheetFormatPr defaultRowHeight="12.75" x14ac:dyDescent="0.2"/>
  <cols>
    <col min="1" max="1" width="4" customWidth="1"/>
    <col min="2" max="2" width="13.85546875" customWidth="1"/>
    <col min="3" max="3" width="37.85546875" customWidth="1"/>
    <col min="4" max="4" width="12.42578125" bestFit="1" customWidth="1"/>
    <col min="5" max="5" width="2.140625" customWidth="1"/>
    <col min="6" max="6" width="12" bestFit="1" customWidth="1"/>
    <col min="7" max="7" width="2.42578125" customWidth="1"/>
    <col min="8" max="8" width="11.42578125" customWidth="1"/>
    <col min="9" max="9" width="2.42578125" customWidth="1"/>
    <col min="10" max="10" width="11.42578125" customWidth="1"/>
    <col min="11" max="11" width="1.5703125" customWidth="1"/>
    <col min="12" max="12" width="9.140625" customWidth="1"/>
  </cols>
  <sheetData>
    <row r="2" spans="2:12" ht="18" x14ac:dyDescent="0.25">
      <c r="B2" s="24" t="s">
        <v>0</v>
      </c>
    </row>
    <row r="3" spans="2:12" ht="14.25" customHeight="1" x14ac:dyDescent="0.25">
      <c r="B3" s="24"/>
    </row>
    <row r="5" spans="2:12" ht="16.5" thickBot="1" x14ac:dyDescent="0.3">
      <c r="B5" s="26" t="s">
        <v>2</v>
      </c>
      <c r="C5" s="27"/>
      <c r="D5" s="27"/>
      <c r="E5" s="27"/>
      <c r="F5" s="27"/>
      <c r="G5" s="27"/>
      <c r="H5" s="27"/>
      <c r="I5" s="28"/>
      <c r="J5" s="28"/>
      <c r="K5" s="28"/>
      <c r="L5" s="28"/>
    </row>
    <row r="6" spans="2:12" ht="5.25" customHeight="1" thickTop="1" x14ac:dyDescent="0.2"/>
    <row r="7" spans="2:12" s="30" customFormat="1" x14ac:dyDescent="0.2">
      <c r="D7" s="40" t="s">
        <v>3</v>
      </c>
      <c r="E7" s="40"/>
      <c r="F7" s="40" t="s">
        <v>5</v>
      </c>
      <c r="G7" s="40"/>
      <c r="H7" s="40" t="s">
        <v>6</v>
      </c>
      <c r="I7" s="40"/>
      <c r="J7" s="40" t="s">
        <v>7</v>
      </c>
      <c r="K7" s="40"/>
      <c r="L7" s="40"/>
    </row>
    <row r="8" spans="2:12" s="30" customFormat="1" x14ac:dyDescent="0.2">
      <c r="D8" s="33" t="s">
        <v>4</v>
      </c>
      <c r="E8" s="40"/>
      <c r="F8" s="33" t="s">
        <v>4</v>
      </c>
      <c r="G8" s="40"/>
      <c r="H8" s="33" t="s">
        <v>4</v>
      </c>
      <c r="I8" s="40"/>
      <c r="J8" s="33" t="s">
        <v>4</v>
      </c>
      <c r="K8" s="40"/>
      <c r="L8" s="33" t="s">
        <v>1</v>
      </c>
    </row>
    <row r="9" spans="2:12" s="30" customFormat="1" x14ac:dyDescent="0.2"/>
    <row r="10" spans="2:12" s="30" customFormat="1" x14ac:dyDescent="0.2">
      <c r="B10" s="97" t="s">
        <v>78</v>
      </c>
      <c r="C10" s="60"/>
    </row>
    <row r="11" spans="2:12" s="30" customFormat="1" x14ac:dyDescent="0.2">
      <c r="B11" s="11" t="s">
        <v>63</v>
      </c>
    </row>
    <row r="12" spans="2:12" s="30" customFormat="1" x14ac:dyDescent="0.2">
      <c r="B12" t="s">
        <v>19</v>
      </c>
      <c r="D12" s="41">
        <v>212</v>
      </c>
      <c r="E12" s="41"/>
      <c r="F12" s="41">
        <v>121</v>
      </c>
      <c r="G12" s="41"/>
      <c r="H12" s="41">
        <v>24</v>
      </c>
      <c r="I12" s="41"/>
      <c r="J12" s="18">
        <v>0</v>
      </c>
      <c r="K12" s="41"/>
      <c r="L12" s="41">
        <f>SUM(D12:K12)</f>
        <v>357</v>
      </c>
    </row>
    <row r="13" spans="2:12" s="30" customFormat="1" x14ac:dyDescent="0.2">
      <c r="B13" s="12" t="s">
        <v>20</v>
      </c>
      <c r="D13" s="41">
        <v>68</v>
      </c>
      <c r="E13" s="41"/>
      <c r="F13" s="41">
        <v>47</v>
      </c>
      <c r="G13" s="41"/>
      <c r="H13" s="41">
        <v>11</v>
      </c>
      <c r="I13" s="41"/>
      <c r="J13" s="18">
        <v>0</v>
      </c>
      <c r="K13" s="41"/>
      <c r="L13" s="41">
        <f>SUM(D13:K13)</f>
        <v>126</v>
      </c>
    </row>
    <row r="14" spans="2:12" s="30" customFormat="1" x14ac:dyDescent="0.2">
      <c r="B14" s="54" t="s">
        <v>17</v>
      </c>
      <c r="D14" s="55">
        <f>+D13+D12</f>
        <v>280</v>
      </c>
      <c r="E14" s="41"/>
      <c r="F14" s="55">
        <f>+F13+F12</f>
        <v>168</v>
      </c>
      <c r="G14" s="41"/>
      <c r="H14" s="55">
        <f>+H13+H12</f>
        <v>35</v>
      </c>
      <c r="I14" s="41"/>
      <c r="J14" s="55">
        <f>+J13+J12</f>
        <v>0</v>
      </c>
      <c r="K14" s="41"/>
      <c r="L14" s="55">
        <f>+L13+L12</f>
        <v>483</v>
      </c>
    </row>
    <row r="15" spans="2:12" s="30" customFormat="1" x14ac:dyDescent="0.2">
      <c r="D15" s="42"/>
      <c r="E15" s="42"/>
      <c r="F15" s="42"/>
      <c r="G15" s="42"/>
      <c r="H15" s="42"/>
      <c r="I15" s="42"/>
      <c r="J15" s="42"/>
      <c r="K15" s="42"/>
      <c r="L15"/>
    </row>
    <row r="16" spans="2:12" s="30" customFormat="1" x14ac:dyDescent="0.2">
      <c r="B16" s="11" t="s">
        <v>64</v>
      </c>
      <c r="D16" s="42"/>
      <c r="E16" s="42"/>
      <c r="F16" s="42"/>
      <c r="G16" s="42"/>
      <c r="H16" s="42"/>
      <c r="I16" s="42"/>
      <c r="J16" s="42"/>
      <c r="K16" s="42"/>
      <c r="L16" s="42"/>
    </row>
    <row r="17" spans="2:13" s="30" customFormat="1" x14ac:dyDescent="0.2">
      <c r="B17" t="s">
        <v>19</v>
      </c>
      <c r="D17" s="41">
        <v>43</v>
      </c>
      <c r="E17" s="41"/>
      <c r="F17" s="41">
        <v>0</v>
      </c>
      <c r="G17" s="41"/>
      <c r="H17" s="41">
        <v>2</v>
      </c>
      <c r="I17" s="41"/>
      <c r="J17" s="18">
        <v>0</v>
      </c>
      <c r="K17" s="41"/>
      <c r="L17" s="41">
        <f>SUM(D17:K17)</f>
        <v>45</v>
      </c>
    </row>
    <row r="18" spans="2:13" s="30" customFormat="1" x14ac:dyDescent="0.2">
      <c r="B18" s="12" t="s">
        <v>20</v>
      </c>
      <c r="D18" s="41">
        <v>6</v>
      </c>
      <c r="E18" s="41"/>
      <c r="F18" s="41">
        <v>0</v>
      </c>
      <c r="G18" s="41"/>
      <c r="H18" s="41">
        <v>1</v>
      </c>
      <c r="I18" s="41"/>
      <c r="J18" s="18">
        <v>0</v>
      </c>
      <c r="K18" s="41"/>
      <c r="L18" s="41">
        <f>SUM(D18:K18)</f>
        <v>7</v>
      </c>
    </row>
    <row r="19" spans="2:13" s="30" customFormat="1" x14ac:dyDescent="0.2">
      <c r="B19" s="54" t="s">
        <v>17</v>
      </c>
      <c r="D19" s="55">
        <f>+D18+D17</f>
        <v>49</v>
      </c>
      <c r="E19" s="41"/>
      <c r="F19" s="55">
        <f>+F18+F17</f>
        <v>0</v>
      </c>
      <c r="G19" s="41"/>
      <c r="H19" s="55">
        <f>+H18+H17</f>
        <v>3</v>
      </c>
      <c r="I19" s="41"/>
      <c r="J19" s="55">
        <f>+J18+J17</f>
        <v>0</v>
      </c>
      <c r="K19" s="41"/>
      <c r="L19" s="55">
        <f>+L18+L17</f>
        <v>52</v>
      </c>
    </row>
    <row r="20" spans="2:13" s="30" customFormat="1" x14ac:dyDescent="0.2">
      <c r="D20" s="41"/>
      <c r="E20" s="41"/>
      <c r="F20" s="41"/>
      <c r="G20" s="41"/>
      <c r="H20" s="41"/>
      <c r="I20" s="41"/>
      <c r="J20" s="18"/>
      <c r="K20" s="41"/>
      <c r="L20"/>
    </row>
    <row r="21" spans="2:13" s="30" customFormat="1" x14ac:dyDescent="0.2">
      <c r="B21" s="11" t="s">
        <v>65</v>
      </c>
      <c r="D21" s="41"/>
      <c r="E21" s="41"/>
      <c r="F21" s="41"/>
      <c r="G21" s="41"/>
      <c r="H21" s="41"/>
      <c r="I21" s="41"/>
      <c r="J21" s="18"/>
      <c r="K21" s="41"/>
      <c r="L21" s="41"/>
    </row>
    <row r="22" spans="2:13" s="30" customFormat="1" x14ac:dyDescent="0.2">
      <c r="B22" t="s">
        <v>19</v>
      </c>
      <c r="D22" s="41">
        <v>444</v>
      </c>
      <c r="E22" s="41"/>
      <c r="F22" s="41">
        <v>10</v>
      </c>
      <c r="G22" s="41"/>
      <c r="H22" s="41">
        <v>19</v>
      </c>
      <c r="I22" s="41"/>
      <c r="J22" s="18">
        <v>70</v>
      </c>
      <c r="K22" s="41"/>
      <c r="L22" s="41">
        <f>SUM(D22:K22)</f>
        <v>543</v>
      </c>
    </row>
    <row r="23" spans="2:13" s="30" customFormat="1" x14ac:dyDescent="0.2">
      <c r="B23" s="12" t="s">
        <v>20</v>
      </c>
      <c r="D23" s="41">
        <v>81</v>
      </c>
      <c r="E23" s="41"/>
      <c r="F23" s="41">
        <v>3</v>
      </c>
      <c r="G23" s="41"/>
      <c r="H23" s="41">
        <v>7</v>
      </c>
      <c r="I23" s="41"/>
      <c r="J23" s="18">
        <v>20</v>
      </c>
      <c r="K23" s="41"/>
      <c r="L23" s="41">
        <f>SUM(D23:K23)</f>
        <v>111</v>
      </c>
    </row>
    <row r="24" spans="2:13" s="30" customFormat="1" x14ac:dyDescent="0.2">
      <c r="B24" s="54" t="s">
        <v>17</v>
      </c>
      <c r="D24" s="55">
        <f>+D23+D22</f>
        <v>525</v>
      </c>
      <c r="E24" s="41"/>
      <c r="F24" s="55">
        <f>+F23+F22</f>
        <v>13</v>
      </c>
      <c r="G24" s="41"/>
      <c r="H24" s="55">
        <f>+H23+H22</f>
        <v>26</v>
      </c>
      <c r="I24" s="41"/>
      <c r="J24" s="55">
        <f>+J23+J22</f>
        <v>90</v>
      </c>
      <c r="K24" s="41"/>
      <c r="L24" s="55">
        <f>+L23+L22</f>
        <v>654</v>
      </c>
    </row>
    <row r="25" spans="2:13" s="30" customFormat="1" x14ac:dyDescent="0.2">
      <c r="B25" s="35"/>
      <c r="C25" s="35"/>
      <c r="D25" s="41"/>
      <c r="E25" s="41"/>
      <c r="F25" s="41"/>
      <c r="G25" s="41"/>
      <c r="H25" s="41"/>
      <c r="I25" s="41"/>
      <c r="J25" s="18"/>
      <c r="K25" s="41"/>
      <c r="L25"/>
    </row>
    <row r="26" spans="2:13" s="30" customFormat="1" ht="14.25" x14ac:dyDescent="0.2">
      <c r="B26" s="11" t="s">
        <v>66</v>
      </c>
      <c r="C26" s="35"/>
      <c r="D26" s="41"/>
      <c r="E26" s="41"/>
      <c r="F26" s="41"/>
      <c r="G26" s="41"/>
      <c r="H26" s="41"/>
      <c r="I26" s="41"/>
      <c r="J26" s="18"/>
      <c r="K26" s="41"/>
      <c r="L26" s="41"/>
    </row>
    <row r="27" spans="2:13" s="30" customFormat="1" x14ac:dyDescent="0.2">
      <c r="B27" t="s">
        <v>19</v>
      </c>
      <c r="D27" s="59">
        <f>ROUND(D12+D17+D22/6,0)</f>
        <v>329</v>
      </c>
      <c r="E27" s="59"/>
      <c r="F27" s="59">
        <f>ROUND(F12+F17+F22/6,0)</f>
        <v>123</v>
      </c>
      <c r="G27" s="59"/>
      <c r="H27" s="59">
        <f>ROUND(H12+H17+H22/6,0)</f>
        <v>29</v>
      </c>
      <c r="I27" s="59"/>
      <c r="J27" s="59">
        <f>ROUND(J12+J17+J22/6,0)</f>
        <v>12</v>
      </c>
      <c r="K27" s="59"/>
      <c r="L27" s="59">
        <f>SUM(D27:K27)</f>
        <v>493</v>
      </c>
      <c r="M27" s="60"/>
    </row>
    <row r="28" spans="2:13" s="30" customFormat="1" x14ac:dyDescent="0.2">
      <c r="B28" s="12" t="s">
        <v>20</v>
      </c>
      <c r="D28" s="59">
        <f>ROUND(D13+D18+D23/6,0)</f>
        <v>88</v>
      </c>
      <c r="E28" s="59"/>
      <c r="F28" s="59">
        <f>ROUND(F13+F18+F23/6,0)-1</f>
        <v>47</v>
      </c>
      <c r="G28" s="59"/>
      <c r="H28" s="59">
        <f>ROUND(H13+H18+H23/6,0)</f>
        <v>13</v>
      </c>
      <c r="I28" s="59"/>
      <c r="J28" s="59">
        <f>ROUND(J13+J18+J23/6,0)</f>
        <v>3</v>
      </c>
      <c r="K28" s="59"/>
      <c r="L28" s="59">
        <f>SUM(D28:K28)</f>
        <v>151</v>
      </c>
      <c r="M28" s="60"/>
    </row>
    <row r="29" spans="2:13" s="30" customFormat="1" ht="13.5" thickBot="1" x14ac:dyDescent="0.25">
      <c r="B29" s="54" t="s">
        <v>17</v>
      </c>
      <c r="D29" s="61">
        <f>+D28+D27</f>
        <v>417</v>
      </c>
      <c r="E29" s="41"/>
      <c r="F29" s="61">
        <f>+F28+F27</f>
        <v>170</v>
      </c>
      <c r="G29" s="41"/>
      <c r="H29" s="61">
        <f>+H28+H27</f>
        <v>42</v>
      </c>
      <c r="I29" s="41"/>
      <c r="J29" s="61">
        <f>+J28+J27</f>
        <v>15</v>
      </c>
      <c r="K29" s="41"/>
      <c r="L29" s="61">
        <f>+L28+L27</f>
        <v>644</v>
      </c>
    </row>
    <row r="30" spans="2:13" ht="13.5" thickTop="1" x14ac:dyDescent="0.2"/>
    <row r="32" spans="2:13" x14ac:dyDescent="0.2">
      <c r="B32" s="85" t="s">
        <v>67</v>
      </c>
    </row>
    <row r="33" spans="2:2" ht="6" customHeight="1" x14ac:dyDescent="0.2">
      <c r="B33" s="85"/>
    </row>
    <row r="34" spans="2:2" x14ac:dyDescent="0.2">
      <c r="B34" s="85" t="s">
        <v>39</v>
      </c>
    </row>
    <row r="35" spans="2:2" x14ac:dyDescent="0.2">
      <c r="B35" s="85" t="s">
        <v>40</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2020-01-29T19:38:52Z</cp:lastPrinted>
  <dcterms:created xsi:type="dcterms:W3CDTF">2014-09-30T22:55:06Z</dcterms:created>
  <dcterms:modified xsi:type="dcterms:W3CDTF">2020-02-26T18:11:07Z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ies>
</file>