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S:\CRCacctcorp\Earnings Release\2020\3Q 2020\"/>
    </mc:Choice>
  </mc:AlternateContent>
  <xr:revisionPtr revIDLastSave="0" documentId="13_ncr:1_{FD36AEB5-B1FD-4E8D-B2D3-DB2CB7EE894E}" xr6:coauthVersionLast="45" xr6:coauthVersionMax="45" xr10:uidLastSave="{00000000-0000-0000-0000-000000000000}"/>
  <bookViews>
    <workbookView xWindow="28680" yWindow="-120" windowWidth="29040" windowHeight="17640" xr2:uid="{00000000-000D-0000-FFFF-FFFF00000000}"/>
  </bookViews>
  <sheets>
    <sheet name="Statements of Income" sheetId="5" r:id="rId1"/>
    <sheet name="Production Statistics" sheetId="2" r:id="rId2"/>
    <sheet name="Reserves" sheetId="3" r:id="rId3"/>
  </sheets>
  <definedNames>
    <definedName name="_xlnm.Print_Area" localSheetId="1">'Production Statistics'!$A$1:$T$32</definedName>
    <definedName name="_xlnm.Print_Area" localSheetId="0">'Statements of Income'!$B$1:$V$112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9" i="5" l="1"/>
  <c r="E67" i="5"/>
  <c r="E56" i="5"/>
  <c r="E13" i="5"/>
  <c r="E11" i="5"/>
  <c r="E55" i="5" s="1"/>
  <c r="E68" i="5"/>
  <c r="E26" i="5"/>
  <c r="E70" i="5" s="1"/>
  <c r="Q103" i="5" l="1"/>
  <c r="R77" i="5" l="1"/>
  <c r="Q77" i="5"/>
  <c r="P77" i="5"/>
  <c r="O77" i="5"/>
  <c r="L77" i="5"/>
  <c r="K77" i="5"/>
  <c r="J77" i="5"/>
  <c r="I77" i="5"/>
  <c r="G77" i="5"/>
  <c r="E77" i="5"/>
  <c r="S33" i="5"/>
  <c r="M33" i="5"/>
  <c r="I36" i="5" l="1"/>
  <c r="P56" i="5"/>
  <c r="P26" i="5" l="1"/>
  <c r="P70" i="5" s="1"/>
  <c r="L64" i="5" l="1"/>
  <c r="K64" i="5"/>
  <c r="J64" i="5"/>
  <c r="I64" i="5"/>
  <c r="O64" i="5" l="1"/>
  <c r="O53" i="5" l="1"/>
  <c r="O26" i="5" l="1"/>
  <c r="O70" i="5" s="1"/>
  <c r="O13" i="5"/>
  <c r="O54" i="5"/>
  <c r="G13" i="5" l="1"/>
  <c r="L26" i="5"/>
  <c r="L70" i="5" s="1"/>
  <c r="K26" i="5"/>
  <c r="K70" i="5" s="1"/>
  <c r="J26" i="5"/>
  <c r="I26" i="5"/>
  <c r="G26" i="5"/>
  <c r="G70" i="5" s="1"/>
  <c r="G24" i="5"/>
  <c r="G25" i="5"/>
  <c r="G23" i="5"/>
  <c r="I13" i="5"/>
  <c r="L13" i="5"/>
  <c r="L57" i="5" s="1"/>
  <c r="K13" i="5"/>
  <c r="K57" i="5" s="1"/>
  <c r="J13" i="5"/>
  <c r="R69" i="5" l="1"/>
  <c r="Q69" i="5"/>
  <c r="P69" i="5"/>
  <c r="O69" i="5"/>
  <c r="L69" i="5"/>
  <c r="K69" i="5"/>
  <c r="J69" i="5"/>
  <c r="I69" i="5"/>
  <c r="G69" i="5"/>
  <c r="R68" i="5"/>
  <c r="Q68" i="5"/>
  <c r="P68" i="5"/>
  <c r="O68" i="5"/>
  <c r="L68" i="5"/>
  <c r="K68" i="5"/>
  <c r="J68" i="5"/>
  <c r="I68" i="5"/>
  <c r="G68" i="5"/>
  <c r="R67" i="5"/>
  <c r="Q67" i="5"/>
  <c r="P67" i="5"/>
  <c r="O67" i="5"/>
  <c r="L67" i="5"/>
  <c r="K67" i="5"/>
  <c r="J67" i="5"/>
  <c r="I67" i="5"/>
  <c r="G67" i="5"/>
  <c r="R66" i="5"/>
  <c r="Q66" i="5"/>
  <c r="P66" i="5"/>
  <c r="O66" i="5"/>
  <c r="L66" i="5"/>
  <c r="K66" i="5"/>
  <c r="J66" i="5"/>
  <c r="I66" i="5"/>
  <c r="G66" i="5"/>
  <c r="R56" i="5"/>
  <c r="Q56" i="5"/>
  <c r="O56" i="5"/>
  <c r="L56" i="5"/>
  <c r="K56" i="5"/>
  <c r="J56" i="5"/>
  <c r="I56" i="5"/>
  <c r="G56" i="5"/>
  <c r="R55" i="5"/>
  <c r="Q55" i="5"/>
  <c r="P55" i="5"/>
  <c r="O55" i="5"/>
  <c r="L55" i="5"/>
  <c r="K55" i="5"/>
  <c r="J55" i="5"/>
  <c r="I55" i="5"/>
  <c r="G55" i="5"/>
  <c r="G54" i="5"/>
  <c r="R54" i="5"/>
  <c r="Q54" i="5"/>
  <c r="P54" i="5"/>
  <c r="L54" i="5"/>
  <c r="K54" i="5"/>
  <c r="J54" i="5"/>
  <c r="I54" i="5"/>
  <c r="S25" i="5"/>
  <c r="S24" i="5"/>
  <c r="S23" i="5"/>
  <c r="S12" i="5"/>
  <c r="S11" i="5"/>
  <c r="M12" i="5"/>
  <c r="M11" i="5"/>
  <c r="M25" i="5"/>
  <c r="M24" i="5"/>
  <c r="M23" i="5"/>
  <c r="M68" i="5" l="1"/>
  <c r="R111" i="5"/>
  <c r="Q111" i="5"/>
  <c r="P111" i="5"/>
  <c r="S104" i="5"/>
  <c r="M104" i="5"/>
  <c r="S103" i="5"/>
  <c r="M103" i="5"/>
  <c r="R88" i="5"/>
  <c r="Q88" i="5"/>
  <c r="P88" i="5"/>
  <c r="O88" i="5"/>
  <c r="K88" i="5"/>
  <c r="J88" i="5"/>
  <c r="I88" i="5"/>
  <c r="G88" i="5"/>
  <c r="G89" i="5" s="1"/>
  <c r="E88" i="5"/>
  <c r="R87" i="5"/>
  <c r="Q87" i="5"/>
  <c r="P87" i="5"/>
  <c r="P89" i="5" s="1"/>
  <c r="O87" i="5"/>
  <c r="O89" i="5" s="1"/>
  <c r="L87" i="5"/>
  <c r="K87" i="5"/>
  <c r="J87" i="5"/>
  <c r="I87" i="5"/>
  <c r="G87" i="5"/>
  <c r="E87" i="5"/>
  <c r="R83" i="5"/>
  <c r="Q83" i="5"/>
  <c r="P83" i="5"/>
  <c r="O83" i="5"/>
  <c r="L83" i="5"/>
  <c r="K83" i="5"/>
  <c r="J83" i="5"/>
  <c r="I83" i="5"/>
  <c r="G83" i="5"/>
  <c r="E83" i="5"/>
  <c r="R80" i="5"/>
  <c r="Q80" i="5"/>
  <c r="P80" i="5"/>
  <c r="O80" i="5"/>
  <c r="K80" i="5"/>
  <c r="J80" i="5"/>
  <c r="I80" i="5"/>
  <c r="G80" i="5"/>
  <c r="E80" i="5"/>
  <c r="R79" i="5"/>
  <c r="Q79" i="5"/>
  <c r="P79" i="5"/>
  <c r="O79" i="5"/>
  <c r="L79" i="5"/>
  <c r="K79" i="5"/>
  <c r="J79" i="5"/>
  <c r="I79" i="5"/>
  <c r="G79" i="5"/>
  <c r="E79" i="5"/>
  <c r="R78" i="5"/>
  <c r="Q78" i="5"/>
  <c r="P78" i="5"/>
  <c r="O78" i="5"/>
  <c r="L78" i="5"/>
  <c r="K78" i="5"/>
  <c r="J78" i="5"/>
  <c r="I78" i="5"/>
  <c r="G78" i="5"/>
  <c r="E78" i="5"/>
  <c r="R76" i="5"/>
  <c r="Q76" i="5"/>
  <c r="P76" i="5"/>
  <c r="O76" i="5"/>
  <c r="L76" i="5"/>
  <c r="K76" i="5"/>
  <c r="J76" i="5"/>
  <c r="I76" i="5"/>
  <c r="G76" i="5"/>
  <c r="E76" i="5"/>
  <c r="R70" i="5"/>
  <c r="Q70" i="5"/>
  <c r="J70" i="5"/>
  <c r="I70" i="5"/>
  <c r="E66" i="5"/>
  <c r="R65" i="5"/>
  <c r="Q65" i="5"/>
  <c r="P65" i="5"/>
  <c r="O65" i="5"/>
  <c r="L65" i="5"/>
  <c r="K65" i="5"/>
  <c r="J65" i="5"/>
  <c r="I65" i="5"/>
  <c r="G65" i="5"/>
  <c r="E65" i="5"/>
  <c r="R63" i="5"/>
  <c r="Q63" i="5"/>
  <c r="P63" i="5"/>
  <c r="O63" i="5"/>
  <c r="L63" i="5"/>
  <c r="K63" i="5"/>
  <c r="J63" i="5"/>
  <c r="I63" i="5"/>
  <c r="G63" i="5"/>
  <c r="E63" i="5"/>
  <c r="R62" i="5"/>
  <c r="Q62" i="5"/>
  <c r="P62" i="5"/>
  <c r="O62" i="5"/>
  <c r="L62" i="5"/>
  <c r="J62" i="5"/>
  <c r="I62" i="5"/>
  <c r="G62" i="5"/>
  <c r="E62" i="5"/>
  <c r="R61" i="5"/>
  <c r="Q61" i="5"/>
  <c r="P61" i="5"/>
  <c r="O61" i="5"/>
  <c r="L61" i="5"/>
  <c r="K61" i="5"/>
  <c r="J61" i="5"/>
  <c r="I61" i="5"/>
  <c r="G61" i="5"/>
  <c r="E61" i="5"/>
  <c r="R57" i="5"/>
  <c r="Q57" i="5"/>
  <c r="P57" i="5"/>
  <c r="O57" i="5"/>
  <c r="O58" i="5" s="1"/>
  <c r="J57" i="5"/>
  <c r="I57" i="5"/>
  <c r="G57" i="5"/>
  <c r="E57" i="5"/>
  <c r="E54" i="5"/>
  <c r="R53" i="5"/>
  <c r="Q53" i="5"/>
  <c r="P53" i="5"/>
  <c r="L53" i="5"/>
  <c r="L58" i="5" s="1"/>
  <c r="K53" i="5"/>
  <c r="K58" i="5" s="1"/>
  <c r="J53" i="5"/>
  <c r="I53" i="5"/>
  <c r="G53" i="5"/>
  <c r="E53" i="5"/>
  <c r="S51" i="5"/>
  <c r="R51" i="5"/>
  <c r="Q51" i="5"/>
  <c r="P51" i="5"/>
  <c r="O51" i="5"/>
  <c r="M51" i="5"/>
  <c r="L51" i="5"/>
  <c r="K51" i="5"/>
  <c r="J51" i="5"/>
  <c r="I51" i="5"/>
  <c r="G51" i="5"/>
  <c r="E51" i="5"/>
  <c r="R44" i="5"/>
  <c r="Q44" i="5"/>
  <c r="P44" i="5"/>
  <c r="O44" i="5"/>
  <c r="K44" i="5"/>
  <c r="J44" i="5"/>
  <c r="I44" i="5"/>
  <c r="G44" i="5"/>
  <c r="E44" i="5"/>
  <c r="S43" i="5"/>
  <c r="L43" i="5"/>
  <c r="L88" i="5" s="1"/>
  <c r="S42" i="5"/>
  <c r="M42" i="5"/>
  <c r="S38" i="5"/>
  <c r="M38" i="5"/>
  <c r="S36" i="5"/>
  <c r="L36" i="5"/>
  <c r="M36" i="5" s="1"/>
  <c r="S35" i="5"/>
  <c r="M35" i="5"/>
  <c r="M79" i="5" s="1"/>
  <c r="S34" i="5"/>
  <c r="M34" i="5"/>
  <c r="S32" i="5"/>
  <c r="M32" i="5"/>
  <c r="R27" i="5"/>
  <c r="R107" i="5" s="1"/>
  <c r="Q27" i="5"/>
  <c r="Q107" i="5" s="1"/>
  <c r="P27" i="5"/>
  <c r="P107" i="5" s="1"/>
  <c r="O27" i="5"/>
  <c r="L27" i="5"/>
  <c r="J27" i="5"/>
  <c r="I27" i="5"/>
  <c r="G27" i="5"/>
  <c r="E27" i="5"/>
  <c r="S26" i="5"/>
  <c r="S22" i="5"/>
  <c r="M22" i="5"/>
  <c r="S21" i="5"/>
  <c r="M21" i="5"/>
  <c r="S20" i="5"/>
  <c r="M20" i="5"/>
  <c r="M64" i="5" s="1"/>
  <c r="S19" i="5"/>
  <c r="M19" i="5"/>
  <c r="S18" i="5"/>
  <c r="K18" i="5"/>
  <c r="K27" i="5" s="1"/>
  <c r="S17" i="5"/>
  <c r="M17" i="5"/>
  <c r="R14" i="5"/>
  <c r="Q14" i="5"/>
  <c r="Q106" i="5" s="1"/>
  <c r="P14" i="5"/>
  <c r="O14" i="5"/>
  <c r="L14" i="5"/>
  <c r="K14" i="5"/>
  <c r="J14" i="5"/>
  <c r="I14" i="5"/>
  <c r="G14" i="5"/>
  <c r="E14" i="5"/>
  <c r="S13" i="5"/>
  <c r="M13" i="5"/>
  <c r="S10" i="5"/>
  <c r="M10" i="5"/>
  <c r="S9" i="5"/>
  <c r="M9" i="5"/>
  <c r="M57" i="5" l="1"/>
  <c r="J58" i="5"/>
  <c r="K89" i="5"/>
  <c r="M53" i="5"/>
  <c r="M87" i="5"/>
  <c r="L71" i="5"/>
  <c r="L73" i="5" s="1"/>
  <c r="O71" i="5"/>
  <c r="O73" i="5" s="1"/>
  <c r="O82" i="5" s="1"/>
  <c r="E29" i="5"/>
  <c r="E37" i="5" s="1"/>
  <c r="K62" i="5"/>
  <c r="K71" i="5" s="1"/>
  <c r="K73" i="5" s="1"/>
  <c r="G71" i="5"/>
  <c r="M43" i="5"/>
  <c r="M88" i="5" s="1"/>
  <c r="M69" i="5"/>
  <c r="M77" i="5"/>
  <c r="S77" i="5"/>
  <c r="S87" i="5"/>
  <c r="I58" i="5"/>
  <c r="Q71" i="5"/>
  <c r="S64" i="5"/>
  <c r="S80" i="5"/>
  <c r="M65" i="5"/>
  <c r="L89" i="5"/>
  <c r="E71" i="5"/>
  <c r="E89" i="5"/>
  <c r="M66" i="5"/>
  <c r="Q29" i="5"/>
  <c r="M80" i="5"/>
  <c r="E58" i="5"/>
  <c r="I71" i="5"/>
  <c r="I73" i="5" s="1"/>
  <c r="I82" i="5" s="1"/>
  <c r="I84" i="5" s="1"/>
  <c r="I91" i="5" s="1"/>
  <c r="R89" i="5"/>
  <c r="M67" i="5"/>
  <c r="P71" i="5"/>
  <c r="M83" i="5"/>
  <c r="M54" i="5"/>
  <c r="R29" i="5"/>
  <c r="R37" i="5" s="1"/>
  <c r="M76" i="5"/>
  <c r="L44" i="5"/>
  <c r="I89" i="5"/>
  <c r="M56" i="5"/>
  <c r="M18" i="5"/>
  <c r="M62" i="5" s="1"/>
  <c r="M61" i="5"/>
  <c r="M63" i="5"/>
  <c r="P58" i="5"/>
  <c r="J89" i="5"/>
  <c r="M55" i="5"/>
  <c r="M78" i="5"/>
  <c r="P29" i="5"/>
  <c r="P37" i="5" s="1"/>
  <c r="R58" i="5"/>
  <c r="Q89" i="5"/>
  <c r="S57" i="5"/>
  <c r="S78" i="5"/>
  <c r="S44" i="5"/>
  <c r="S76" i="5"/>
  <c r="O29" i="5"/>
  <c r="O37" i="5" s="1"/>
  <c r="S79" i="5"/>
  <c r="S53" i="5"/>
  <c r="S88" i="5"/>
  <c r="S62" i="5"/>
  <c r="S63" i="5"/>
  <c r="S65" i="5"/>
  <c r="S61" i="5"/>
  <c r="S70" i="5"/>
  <c r="S83" i="5"/>
  <c r="R71" i="5"/>
  <c r="Q58" i="5"/>
  <c r="S111" i="5"/>
  <c r="S69" i="5"/>
  <c r="S56" i="5"/>
  <c r="S55" i="5"/>
  <c r="S68" i="5"/>
  <c r="S67" i="5"/>
  <c r="S66" i="5"/>
  <c r="S54" i="5"/>
  <c r="J71" i="5"/>
  <c r="I29" i="5"/>
  <c r="I37" i="5" s="1"/>
  <c r="K29" i="5"/>
  <c r="K37" i="5" s="1"/>
  <c r="J29" i="5"/>
  <c r="L29" i="5"/>
  <c r="G58" i="5"/>
  <c r="G73" i="5" s="1"/>
  <c r="G29" i="5"/>
  <c r="G37" i="5" s="1"/>
  <c r="S27" i="5"/>
  <c r="S107" i="5" s="1"/>
  <c r="P106" i="5"/>
  <c r="S14" i="5"/>
  <c r="L80" i="5"/>
  <c r="L82" i="5" s="1"/>
  <c r="R106" i="5"/>
  <c r="M14" i="5"/>
  <c r="M26" i="5"/>
  <c r="M70" i="5" s="1"/>
  <c r="M44" i="5"/>
  <c r="M24" i="2"/>
  <c r="L24" i="2"/>
  <c r="K24" i="2"/>
  <c r="J24" i="2"/>
  <c r="I24" i="2"/>
  <c r="M17" i="2"/>
  <c r="L17" i="2"/>
  <c r="K17" i="2"/>
  <c r="J17" i="2"/>
  <c r="I17" i="2"/>
  <c r="M12" i="2"/>
  <c r="L12" i="2"/>
  <c r="L26" i="2" s="1"/>
  <c r="K12" i="2"/>
  <c r="K26" i="2" s="1"/>
  <c r="J12" i="2"/>
  <c r="I12" i="2"/>
  <c r="G24" i="2"/>
  <c r="G17" i="2"/>
  <c r="G12" i="2"/>
  <c r="M26" i="2" l="1"/>
  <c r="G26" i="2"/>
  <c r="M89" i="5"/>
  <c r="Q73" i="5"/>
  <c r="Q82" i="5" s="1"/>
  <c r="R108" i="5"/>
  <c r="J37" i="5"/>
  <c r="J39" i="5" s="1"/>
  <c r="J46" i="5" s="1"/>
  <c r="L37" i="5"/>
  <c r="L39" i="5" s="1"/>
  <c r="L46" i="5" s="1"/>
  <c r="P108" i="5"/>
  <c r="S58" i="5"/>
  <c r="K82" i="5"/>
  <c r="K84" i="5" s="1"/>
  <c r="K91" i="5" s="1"/>
  <c r="S71" i="5"/>
  <c r="G82" i="5"/>
  <c r="G84" i="5" s="1"/>
  <c r="G91" i="5" s="1"/>
  <c r="Q84" i="5"/>
  <c r="Q91" i="5" s="1"/>
  <c r="Q108" i="5"/>
  <c r="Q37" i="5"/>
  <c r="Q109" i="5" s="1"/>
  <c r="M71" i="5"/>
  <c r="M58" i="5"/>
  <c r="R73" i="5"/>
  <c r="I26" i="2"/>
  <c r="E73" i="5"/>
  <c r="J26" i="2"/>
  <c r="P73" i="5"/>
  <c r="J73" i="5"/>
  <c r="J82" i="5" s="1"/>
  <c r="J84" i="5" s="1"/>
  <c r="J91" i="5" s="1"/>
  <c r="O84" i="5"/>
  <c r="O91" i="5" s="1"/>
  <c r="S89" i="5"/>
  <c r="G39" i="5"/>
  <c r="O39" i="5"/>
  <c r="E39" i="5"/>
  <c r="R109" i="5"/>
  <c r="R39" i="5"/>
  <c r="S29" i="5"/>
  <c r="S37" i="5" s="1"/>
  <c r="S106" i="5"/>
  <c r="P109" i="5"/>
  <c r="P39" i="5"/>
  <c r="I39" i="5"/>
  <c r="L84" i="5"/>
  <c r="L91" i="5" s="1"/>
  <c r="M27" i="5"/>
  <c r="K39" i="5"/>
  <c r="R82" i="5" l="1"/>
  <c r="R84" i="5" s="1"/>
  <c r="R91" i="5" s="1"/>
  <c r="M73" i="5"/>
  <c r="P82" i="5"/>
  <c r="P84" i="5" s="1"/>
  <c r="P91" i="5" s="1"/>
  <c r="E82" i="5"/>
  <c r="E84" i="5" s="1"/>
  <c r="E91" i="5" s="1"/>
  <c r="S73" i="5"/>
  <c r="S82" i="5" s="1"/>
  <c r="Q39" i="5"/>
  <c r="Q46" i="5" s="1"/>
  <c r="Q112" i="5" s="1"/>
  <c r="M29" i="5"/>
  <c r="M37" i="5" s="1"/>
  <c r="K46" i="5"/>
  <c r="G46" i="5"/>
  <c r="E46" i="5"/>
  <c r="R110" i="5"/>
  <c r="R46" i="5"/>
  <c r="R112" i="5" s="1"/>
  <c r="S108" i="5"/>
  <c r="O46" i="5"/>
  <c r="I46" i="5"/>
  <c r="P46" i="5"/>
  <c r="P112" i="5" s="1"/>
  <c r="P110" i="5"/>
  <c r="H28" i="3"/>
  <c r="F28" i="3"/>
  <c r="F27" i="3"/>
  <c r="M82" i="5" l="1"/>
  <c r="M84" i="5" s="1"/>
  <c r="M91" i="5" s="1"/>
  <c r="Q110" i="5"/>
  <c r="S84" i="5"/>
  <c r="S91" i="5" s="1"/>
  <c r="S39" i="5"/>
  <c r="S109" i="5"/>
  <c r="M39" i="5" l="1"/>
  <c r="M46" i="5" s="1"/>
  <c r="S110" i="5"/>
  <c r="S46" i="5"/>
  <c r="S112" i="5" s="1"/>
  <c r="R24" i="2"/>
  <c r="R17" i="2"/>
  <c r="R12" i="2"/>
  <c r="R26" i="2" l="1"/>
  <c r="Q24" i="2" l="1"/>
  <c r="Q17" i="2"/>
  <c r="Q12" i="2"/>
  <c r="Q26" i="2" l="1"/>
  <c r="S24" i="2" l="1"/>
  <c r="S17" i="2"/>
  <c r="S12" i="2"/>
  <c r="P24" i="2"/>
  <c r="P17" i="2"/>
  <c r="P12" i="2"/>
  <c r="S26" i="2" l="1"/>
  <c r="P26" i="2"/>
  <c r="O24" i="2" l="1"/>
  <c r="O17" i="2"/>
  <c r="O12" i="2"/>
  <c r="O26" i="2" l="1"/>
  <c r="J28" i="3" l="1"/>
  <c r="E24" i="2" l="1"/>
  <c r="E17" i="2"/>
  <c r="E12" i="2"/>
  <c r="E26" i="2" l="1"/>
  <c r="D28" i="3" l="1"/>
  <c r="D27" i="3" l="1"/>
  <c r="H27" i="3" l="1"/>
  <c r="J27" i="3" l="1"/>
  <c r="H29" i="3"/>
  <c r="J24" i="3"/>
  <c r="H24" i="3"/>
  <c r="F24" i="3"/>
  <c r="D24" i="3"/>
  <c r="J19" i="3"/>
  <c r="H19" i="3"/>
  <c r="F19" i="3"/>
  <c r="D19" i="3"/>
  <c r="J14" i="3"/>
  <c r="H14" i="3"/>
  <c r="F14" i="3"/>
  <c r="D14" i="3"/>
  <c r="L23" i="3"/>
  <c r="L22" i="3"/>
  <c r="L18" i="3"/>
  <c r="L17" i="3"/>
  <c r="L13" i="3"/>
  <c r="L12" i="3"/>
  <c r="J29" i="3" l="1"/>
  <c r="D29" i="3"/>
  <c r="L28" i="3"/>
  <c r="F29" i="3"/>
  <c r="L27" i="3"/>
  <c r="L24" i="3"/>
  <c r="L19" i="3"/>
  <c r="L14" i="3"/>
  <c r="L29" i="3" l="1"/>
</calcChain>
</file>

<file path=xl/sharedStrings.xml><?xml version="1.0" encoding="utf-8"?>
<sst xmlns="http://schemas.openxmlformats.org/spreadsheetml/2006/main" count="151" uniqueCount="84">
  <si>
    <t>California Resources Corporation</t>
  </si>
  <si>
    <t>Total</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</si>
  <si>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</si>
  <si>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</si>
  <si>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</si>
  <si>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</si>
  <si>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</si>
  <si>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</si>
  <si>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</si>
  <si>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</si>
  <si>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</si>
  <si>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</si>
  <si>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</si>
  <si>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</si>
  <si>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</si>
  <si>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</si>
  <si>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Sales Volume MBOE</t>
  </si>
  <si>
    <t xml:space="preserve">   Total</t>
  </si>
  <si>
    <t xml:space="preserve">Production Volume </t>
  </si>
  <si>
    <t>Proved Developed Reserves</t>
  </si>
  <si>
    <t>Proved Undeveloped Reserves</t>
  </si>
  <si>
    <t>Interest and debt expense, net</t>
  </si>
  <si>
    <t xml:space="preserve"> </t>
  </si>
  <si>
    <t>Income tax benefit</t>
  </si>
  <si>
    <t>Costs and Other</t>
  </si>
  <si>
    <t xml:space="preserve">   Total costs and other</t>
  </si>
  <si>
    <t>Revenues and Other</t>
  </si>
  <si>
    <t xml:space="preserve">  Other revenue</t>
  </si>
  <si>
    <t xml:space="preserve">  Production costs</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</si>
  <si>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</si>
  <si>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</si>
  <si>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</si>
  <si>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</si>
  <si>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</si>
  <si>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</si>
  <si>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</si>
  <si>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</si>
  <si>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t>Non-Operating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</si>
  <si>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</si>
  <si>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</si>
  <si>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</si>
  <si>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</si>
  <si>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r>
      <t>Consolidated Statements of Operations (in millions)</t>
    </r>
    <r>
      <rPr>
        <b/>
        <sz val="12"/>
        <rFont val="Arial"/>
        <family val="2"/>
      </rPr>
      <t>:</t>
    </r>
  </si>
  <si>
    <t xml:space="preserve">  Oil and gas sales</t>
  </si>
  <si>
    <r>
      <t>Consolidated Statements of Operations ($/BOE)</t>
    </r>
    <r>
      <rPr>
        <b/>
        <sz val="12"/>
        <rFont val="Arial"/>
        <family val="2"/>
      </rPr>
      <t>:</t>
    </r>
  </si>
  <si>
    <t xml:space="preserve">     reported as expense as opposed to being netted against revenue.  The adoption of this standard does not affect net income.   </t>
  </si>
  <si>
    <t xml:space="preserve">  Net derivative (loss) gain from commodity contracts</t>
  </si>
  <si>
    <t>Gain on asset divestitures</t>
  </si>
  <si>
    <t>Net gain on early extinguishment of debt</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</si>
  <si>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</si>
  <si>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</si>
  <si>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</si>
  <si>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</si>
  <si>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</si>
  <si>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1Q 2019</t>
  </si>
  <si>
    <t>2Q 2019</t>
  </si>
  <si>
    <t>3Q 2019</t>
  </si>
  <si>
    <t>4Q 2019</t>
  </si>
  <si>
    <t xml:space="preserve">  Mezzanine equity</t>
  </si>
  <si>
    <t xml:space="preserve">  Equity</t>
  </si>
  <si>
    <t>Net (Income) Loss Attributable to Noncontrolling Interests</t>
  </si>
  <si>
    <t>Net income attributable to noncontrolling interests</t>
  </si>
  <si>
    <t>Income tax benefit (loss)</t>
  </si>
  <si>
    <t>Net Production Statistics:</t>
  </si>
  <si>
    <t>At December 31, 2019</t>
  </si>
  <si>
    <t>1Q 2020</t>
  </si>
  <si>
    <t>2Q 2020</t>
  </si>
  <si>
    <t>3Q 2020</t>
  </si>
  <si>
    <t>4Q 2020</t>
  </si>
  <si>
    <t xml:space="preserve">  Oil and natural gas sales</t>
  </si>
  <si>
    <t>Revenues</t>
  </si>
  <si>
    <t xml:space="preserve">  Electricity sales</t>
  </si>
  <si>
    <t>Reorganization items, net</t>
  </si>
  <si>
    <r>
      <t xml:space="preserve">Other non-operating expenses </t>
    </r>
    <r>
      <rPr>
        <vertAlign val="superscript"/>
        <sz val="10"/>
        <rFont val="Arial"/>
        <family val="2"/>
      </rPr>
      <t>(b)</t>
    </r>
  </si>
  <si>
    <r>
      <t xml:space="preserve">   Total revenues and other </t>
    </r>
    <r>
      <rPr>
        <vertAlign val="superscript"/>
        <sz val="10"/>
        <rFont val="Arial"/>
        <family val="2"/>
      </rPr>
      <t>(a)</t>
    </r>
  </si>
  <si>
    <r>
      <t xml:space="preserve">   Total revenues </t>
    </r>
    <r>
      <rPr>
        <vertAlign val="superscript"/>
        <sz val="10"/>
        <rFont val="Arial"/>
        <family val="2"/>
      </rPr>
      <t>(a)</t>
    </r>
  </si>
  <si>
    <r>
      <t xml:space="preserve">  General and administrative expenses </t>
    </r>
    <r>
      <rPr>
        <vertAlign val="superscript"/>
        <sz val="10"/>
        <rFont val="Arial"/>
        <family val="2"/>
      </rPr>
      <t>(b)</t>
    </r>
  </si>
  <si>
    <t>(a)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</si>
  <si>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(b) The non-service cost component of net benefit cost related to CRC's pension and postretirement benefit plans have been reclassified from general and administrative expenses to other non-operating expenses as a result of the adoption of ASU 2017-07 on January 1, 2018. </t>
  </si>
  <si>
    <r>
      <t xml:space="preserve">  Transportation costs </t>
    </r>
    <r>
      <rPr>
        <vertAlign val="superscript"/>
        <sz val="10"/>
        <rFont val="Arial"/>
        <family val="2"/>
      </rPr>
      <t>(a)</t>
    </r>
  </si>
  <si>
    <t xml:space="preserve">  Other expenses, net</t>
  </si>
  <si>
    <t xml:space="preserve">  Marketing and trading revenue</t>
  </si>
  <si>
    <t xml:space="preserve">  Electricity cost of sales</t>
  </si>
  <si>
    <r>
      <t xml:space="preserve">  Marketing and trading costs </t>
    </r>
    <r>
      <rPr>
        <vertAlign val="superscript"/>
        <sz val="10"/>
        <rFont val="Arial"/>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</si>
</sst>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3" formatCode="_(* #,##0.00_);_(* \(#,##0.00\);_(* &quot;-&quot;??_);_(@_)"/>
    <numFmt numFmtId="164" formatCode="_(* #,##0.0000_);_(* \(#,##0.0000\);_(* &quot;-&quot;??_);_(@_)"/>
    <numFmt numFmtId="165" formatCode="_(&quot;$&quot;* #,##0.00_);_(&quot;$&quot;* \(#,##0.00\);_(&quot;$&quot;* &quot;-&quot;_);_(@_)"/>
    <numFmt numFmtId="166" formatCode="_(* #,##0.00_);_(* \(#,##0.00\);_(* &quot;-&quot;_);_(@_)"/>
    <numFmt numFmtId="167" formatCode="_(* #,##0.0_);_(* \(#,##0.0\);_(* &quot;-&quot;??_);_(@_)"/>
    <numFmt numFmtId="168" formatCode="_(* #,##0.0_);_(* \(#,##0.0\);_(* &quot;-&quot;_);_(@_)"/>
  </numFmts>
  <fonts count="14"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sz val="10"/>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2">
    <xf numFmtId="0" fontId="0" fillId="0" borderId="0"/>
    <xf numFmtId="43" fontId="6" fillId="0" borderId="0" applyFont="0" applyFill="0" applyBorder="0" applyAlignment="0" applyProtection="0"/>
  </cellStyleXfs>
  <cellXfs count="90">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0" fillId="0" borderId="0" xfId="0" applyNumberFormat="1"/>
    <xf numFmtId="165"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5" fontId="3" fillId="0" borderId="2" xfId="0" applyNumberFormat="1" applyFont="1" applyBorder="1" applyAlignment="1"/>
    <xf numFmtId="0" fontId="4" fillId="0" borderId="0" xfId="0" applyNumberFormat="1" applyFont="1" applyBorder="1"/>
    <xf numFmtId="0" fontId="0" fillId="0" borderId="0" xfId="0" applyFill="1" applyBorder="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41" fontId="0" fillId="0" borderId="2" xfId="0" applyNumberFormat="1" applyFont="1" applyBorder="1"/>
    <xf numFmtId="41" fontId="3" fillId="0" borderId="2" xfId="0" applyNumberFormat="1" applyFont="1" applyBorder="1"/>
    <xf numFmtId="0" fontId="0" fillId="2" borderId="0" xfId="0" applyFill="1"/>
    <xf numFmtId="166" fontId="0" fillId="2" borderId="0" xfId="0" applyNumberFormat="1" applyFill="1"/>
    <xf numFmtId="167" fontId="0" fillId="2" borderId="0" xfId="1" applyNumberFormat="1" applyFont="1" applyFill="1"/>
    <xf numFmtId="168" fontId="0" fillId="2" borderId="0" xfId="0" applyNumberFormat="1" applyFill="1"/>
    <xf numFmtId="43" fontId="0" fillId="2" borderId="0" xfId="0" applyNumberFormat="1" applyFill="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9" fillId="0" borderId="0" xfId="0" applyFont="1"/>
    <xf numFmtId="41" fontId="3" fillId="0" borderId="0" xfId="0" applyNumberFormat="1" applyFont="1" applyFill="1" applyBorder="1"/>
    <xf numFmtId="0" fontId="11" fillId="0" borderId="0" xfId="0" applyNumberFormat="1" applyFont="1"/>
    <xf numFmtId="0" fontId="12" fillId="0" borderId="0" xfId="0" applyFont="1" applyAlignment="1">
      <alignment vertical="center"/>
    </xf>
    <xf numFmtId="41" fontId="0" fillId="0" borderId="3" xfId="0" applyNumberFormat="1" applyFont="1" applyBorder="1"/>
    <xf numFmtId="165"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xf numFmtId="165" fontId="3" fillId="0" borderId="2" xfId="0" applyNumberFormat="1" applyFont="1" applyFill="1" applyBorder="1" applyAlignment="1"/>
    <xf numFmtId="0" fontId="7" fillId="0" borderId="0" xfId="0" applyFont="1" applyFill="1"/>
    <xf numFmtId="0" fontId="1" fillId="0" borderId="0" xfId="0" applyFont="1" applyBorder="1" applyAlignment="1">
      <alignment horizontal="center"/>
    </xf>
    <xf numFmtId="165" fontId="0" fillId="0" borderId="0" xfId="0" applyNumberForma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FAAD-F1F1-4A7C-BDB0-8C27F0A4E096}">
  <sheetPr>
    <pageSetUpPr fitToPage="1"/>
  </sheetPr>
  <dimension ref="A2:XAV119"/>
  <sheetViews>
    <sheetView showGridLines="0" tabSelected="1" zoomScale="82" zoomScaleNormal="82" workbookViewId="0">
      <selection activeCell="B12" sqref="B12"/>
    </sheetView>
  </sheetViews>
  <sheetFormatPr defaultRowHeight="12.5" outlineLevelRow="1" x14ac:dyDescent="0.25"/>
  <cols>
    <col min="1" max="1" width="4" customWidth="1"/>
    <col min="3" max="3" width="48.7265625" customWidth="1"/>
    <col min="4" max="4" width="2.7265625" customWidth="1"/>
    <col min="5" max="5" width="9.81640625" customWidth="1"/>
    <col min="6" max="6" width="2.7265625" customWidth="1"/>
    <col min="7" max="7" width="9.81640625" customWidth="1"/>
    <col min="8" max="8" width="2.7265625" customWidth="1"/>
    <col min="9" max="11" width="9.7265625" customWidth="1"/>
    <col min="12" max="12" width="10.453125" customWidth="1"/>
    <col min="13" max="13" width="9.81640625" bestFit="1" customWidth="1"/>
    <col min="14" max="14" width="2.26953125" customWidth="1"/>
    <col min="15" max="17" width="9.7265625" customWidth="1"/>
    <col min="18" max="18" width="10.453125" customWidth="1"/>
    <col min="19" max="19" width="11" customWidth="1"/>
    <col min="20" max="20" width="9.7265625" customWidth="1"/>
    <col min="21" max="21" width="8.81640625" customWidth="1"/>
    <col min="22" max="22" width="10.6328125" bestFit="1" customWidth="1"/>
  </cols>
  <sheetData>
    <row r="2" spans="1:24" ht="18" x14ac:dyDescent="0.4">
      <c r="B2" s="22" t="s">
        <v>0</v>
      </c>
    </row>
    <row r="3" spans="1:24" x14ac:dyDescent="0.25">
      <c r="A3" t="s">
        <v>22</v>
      </c>
    </row>
    <row r="5" spans="1:24" ht="16" thickBot="1" x14ac:dyDescent="0.4">
      <c r="B5" s="24" t="s">
        <v>42</v>
      </c>
      <c r="C5" s="26"/>
      <c r="D5" s="26"/>
      <c r="E5" s="26"/>
      <c r="F5" s="26"/>
      <c r="G5" s="26"/>
      <c r="H5" s="26"/>
      <c r="I5" s="26"/>
      <c r="J5" s="26"/>
      <c r="K5" s="26"/>
      <c r="L5" s="26"/>
      <c r="M5" s="26"/>
      <c r="N5" s="26"/>
      <c r="O5" s="26"/>
      <c r="P5" s="26"/>
      <c r="Q5" s="26"/>
      <c r="R5" s="26"/>
      <c r="S5" s="26"/>
    </row>
    <row r="6" spans="1:24" ht="6" customHeight="1" thickTop="1" x14ac:dyDescent="0.3">
      <c r="B6" s="1"/>
    </row>
    <row r="7" spans="1:24" ht="13" x14ac:dyDescent="0.3">
      <c r="E7" s="30">
        <v>2017</v>
      </c>
      <c r="G7" s="30">
        <v>2018</v>
      </c>
      <c r="I7" s="30" t="s">
        <v>54</v>
      </c>
      <c r="J7" s="30" t="s">
        <v>55</v>
      </c>
      <c r="K7" s="30" t="s">
        <v>56</v>
      </c>
      <c r="L7" s="30" t="s">
        <v>57</v>
      </c>
      <c r="M7" s="30" t="s">
        <v>1</v>
      </c>
      <c r="O7" s="30" t="s">
        <v>65</v>
      </c>
      <c r="P7" s="30" t="s">
        <v>66</v>
      </c>
      <c r="Q7" s="30" t="s">
        <v>67</v>
      </c>
      <c r="R7" s="30" t="s">
        <v>68</v>
      </c>
      <c r="S7" s="30" t="s">
        <v>1</v>
      </c>
    </row>
    <row r="8" spans="1:24" ht="13" x14ac:dyDescent="0.3">
      <c r="B8" s="1" t="s">
        <v>70</v>
      </c>
      <c r="C8" s="2"/>
      <c r="E8" s="4"/>
      <c r="G8" s="4"/>
      <c r="I8" s="3"/>
      <c r="J8" s="4"/>
      <c r="K8" s="4"/>
      <c r="L8" s="4"/>
      <c r="M8" s="4"/>
      <c r="O8" s="3"/>
      <c r="P8" s="4"/>
      <c r="Q8" s="4"/>
      <c r="R8" s="4"/>
      <c r="S8" s="4"/>
    </row>
    <row r="9" spans="1:24" x14ac:dyDescent="0.25">
      <c r="B9" s="36" t="s">
        <v>69</v>
      </c>
      <c r="C9" s="7"/>
      <c r="E9" s="62">
        <v>1936</v>
      </c>
      <c r="G9" s="62">
        <v>2590</v>
      </c>
      <c r="I9" s="62">
        <v>601</v>
      </c>
      <c r="J9" s="23">
        <v>578</v>
      </c>
      <c r="K9" s="23">
        <v>541</v>
      </c>
      <c r="L9" s="23">
        <v>550</v>
      </c>
      <c r="M9" s="62">
        <f>+I9+J9+K9+L9</f>
        <v>2270</v>
      </c>
      <c r="O9" s="62">
        <v>430</v>
      </c>
      <c r="P9" s="23">
        <v>245</v>
      </c>
      <c r="Q9" s="23">
        <v>312</v>
      </c>
      <c r="R9" s="23">
        <v>0</v>
      </c>
      <c r="S9" s="62">
        <f>+O9+P9+Q9+R9</f>
        <v>987</v>
      </c>
      <c r="T9" s="7"/>
      <c r="U9" s="7"/>
      <c r="V9" s="7"/>
      <c r="W9" s="7"/>
      <c r="X9" s="7"/>
    </row>
    <row r="10" spans="1:24" x14ac:dyDescent="0.25">
      <c r="B10" s="36" t="s">
        <v>46</v>
      </c>
      <c r="C10" s="7"/>
      <c r="E10" s="9">
        <v>-90</v>
      </c>
      <c r="G10" s="9">
        <v>1</v>
      </c>
      <c r="I10" s="9">
        <v>-89</v>
      </c>
      <c r="J10" s="9">
        <v>21</v>
      </c>
      <c r="K10" s="9">
        <v>37</v>
      </c>
      <c r="L10" s="9">
        <v>-28</v>
      </c>
      <c r="M10" s="9">
        <f t="shared" ref="M10:M13" si="0">+I10+J10+K10+L10</f>
        <v>-59</v>
      </c>
      <c r="O10" s="9">
        <v>79</v>
      </c>
      <c r="P10" s="9">
        <v>-4</v>
      </c>
      <c r="Q10" s="9">
        <v>0</v>
      </c>
      <c r="R10" s="9">
        <v>0</v>
      </c>
      <c r="S10" s="9">
        <f t="shared" ref="S10:S13" si="1">+O10+P10+Q10+R10</f>
        <v>75</v>
      </c>
      <c r="T10" s="7"/>
      <c r="U10" s="7"/>
      <c r="V10" s="7"/>
      <c r="W10" s="7"/>
      <c r="X10" s="7"/>
    </row>
    <row r="11" spans="1:24" x14ac:dyDescent="0.25">
      <c r="B11" s="36" t="s">
        <v>81</v>
      </c>
      <c r="C11" s="7"/>
      <c r="E11" s="9">
        <f>32</f>
        <v>32</v>
      </c>
      <c r="G11" s="9">
        <v>330</v>
      </c>
      <c r="I11" s="9">
        <v>135</v>
      </c>
      <c r="J11" s="9">
        <v>33</v>
      </c>
      <c r="K11" s="9">
        <v>62</v>
      </c>
      <c r="L11" s="9">
        <v>56</v>
      </c>
      <c r="M11" s="9">
        <f t="shared" si="0"/>
        <v>286</v>
      </c>
      <c r="O11" s="9">
        <v>45</v>
      </c>
      <c r="P11" s="9">
        <v>14</v>
      </c>
      <c r="Q11" s="9">
        <v>50</v>
      </c>
      <c r="R11" s="9"/>
      <c r="S11" s="9">
        <f t="shared" si="1"/>
        <v>109</v>
      </c>
      <c r="T11" s="7"/>
      <c r="U11" s="7"/>
      <c r="V11" s="7"/>
      <c r="W11" s="7"/>
      <c r="X11" s="7"/>
    </row>
    <row r="12" spans="1:24" x14ac:dyDescent="0.25">
      <c r="B12" s="36" t="s">
        <v>71</v>
      </c>
      <c r="C12" s="7"/>
      <c r="E12" s="9">
        <v>125</v>
      </c>
      <c r="G12" s="9">
        <v>111</v>
      </c>
      <c r="I12" s="9">
        <v>34</v>
      </c>
      <c r="J12" s="9">
        <v>16</v>
      </c>
      <c r="K12" s="9">
        <v>38</v>
      </c>
      <c r="L12" s="9">
        <v>24</v>
      </c>
      <c r="M12" s="9">
        <f t="shared" si="0"/>
        <v>112</v>
      </c>
      <c r="O12" s="9">
        <v>13</v>
      </c>
      <c r="P12" s="9">
        <v>19</v>
      </c>
      <c r="Q12" s="9">
        <v>43</v>
      </c>
      <c r="R12" s="9"/>
      <c r="S12" s="9">
        <f t="shared" si="1"/>
        <v>75</v>
      </c>
      <c r="T12" s="7"/>
      <c r="U12" s="7"/>
      <c r="V12" s="7"/>
      <c r="W12" s="7"/>
      <c r="X12" s="7"/>
    </row>
    <row r="13" spans="1:24" x14ac:dyDescent="0.25">
      <c r="B13" s="36" t="s">
        <v>27</v>
      </c>
      <c r="C13" s="7"/>
      <c r="E13" s="51">
        <f>160-125-32</f>
        <v>3</v>
      </c>
      <c r="G13" s="51">
        <f>473-330-111</f>
        <v>32</v>
      </c>
      <c r="I13" s="51">
        <f>178-135-34</f>
        <v>9</v>
      </c>
      <c r="J13" s="9">
        <f>54-33-16</f>
        <v>5</v>
      </c>
      <c r="K13" s="9">
        <f>103-62-38</f>
        <v>3</v>
      </c>
      <c r="L13" s="9">
        <f>88-56-24</f>
        <v>8</v>
      </c>
      <c r="M13" s="51">
        <f t="shared" si="0"/>
        <v>25</v>
      </c>
      <c r="O13" s="51">
        <f>64-45-13</f>
        <v>6</v>
      </c>
      <c r="P13" s="9">
        <v>2</v>
      </c>
      <c r="Q13" s="9">
        <v>4</v>
      </c>
      <c r="R13" s="9">
        <v>0</v>
      </c>
      <c r="S13" s="51">
        <f t="shared" si="1"/>
        <v>12</v>
      </c>
      <c r="T13" s="7"/>
      <c r="U13" s="7"/>
      <c r="V13" s="7"/>
      <c r="W13" s="7"/>
      <c r="X13" s="7"/>
    </row>
    <row r="14" spans="1:24" ht="14.5" x14ac:dyDescent="0.25">
      <c r="B14" s="6" t="s">
        <v>75</v>
      </c>
      <c r="C14" s="7"/>
      <c r="E14" s="63">
        <f>SUM(E9:E13)</f>
        <v>2006</v>
      </c>
      <c r="G14" s="63">
        <f>SUM(G9:G13)</f>
        <v>3064</v>
      </c>
      <c r="I14" s="63">
        <f>SUM(I9:I13)</f>
        <v>690</v>
      </c>
      <c r="J14" s="63">
        <f>SUM(J9:J13)</f>
        <v>653</v>
      </c>
      <c r="K14" s="63">
        <f>SUM(K9:K13)</f>
        <v>681</v>
      </c>
      <c r="L14" s="63">
        <f>SUM(L9:L13)</f>
        <v>610</v>
      </c>
      <c r="M14" s="63">
        <f>SUM(M9:M13)</f>
        <v>2634</v>
      </c>
      <c r="O14" s="63">
        <f>SUM(O9:O13)</f>
        <v>573</v>
      </c>
      <c r="P14" s="63">
        <f>SUM(P9:P13)</f>
        <v>276</v>
      </c>
      <c r="Q14" s="63">
        <f>SUM(Q9:Q13)</f>
        <v>409</v>
      </c>
      <c r="R14" s="63">
        <f>SUM(R9:R13)</f>
        <v>0</v>
      </c>
      <c r="S14" s="63">
        <f>SUM(S9:S13)</f>
        <v>1258</v>
      </c>
      <c r="T14" s="7"/>
      <c r="U14" s="7"/>
      <c r="V14" s="7"/>
      <c r="W14" s="7"/>
      <c r="X14" s="7"/>
    </row>
    <row r="15" spans="1:24" ht="12.65" customHeight="1" x14ac:dyDescent="0.25">
      <c r="B15" s="6"/>
      <c r="C15" s="7"/>
      <c r="E15" s="62"/>
      <c r="G15" s="62"/>
      <c r="I15" s="23"/>
      <c r="J15" s="23"/>
      <c r="K15" s="23"/>
      <c r="L15" s="23"/>
      <c r="M15" s="62"/>
      <c r="O15" s="23"/>
      <c r="P15" s="23"/>
      <c r="Q15" s="23"/>
      <c r="R15" s="23"/>
      <c r="S15" s="62"/>
      <c r="T15" s="7"/>
      <c r="U15" s="7"/>
      <c r="V15" s="7"/>
      <c r="W15" s="7"/>
      <c r="X15" s="7"/>
    </row>
    <row r="16" spans="1:24" ht="13" x14ac:dyDescent="0.3">
      <c r="B16" s="1" t="s">
        <v>24</v>
      </c>
      <c r="C16" s="7"/>
      <c r="E16" s="62"/>
      <c r="G16" s="62"/>
      <c r="I16" s="23"/>
      <c r="J16" s="23"/>
      <c r="K16" s="23"/>
      <c r="L16" s="23"/>
      <c r="M16" s="62"/>
      <c r="O16" s="23"/>
      <c r="P16" s="23"/>
      <c r="Q16" s="23"/>
      <c r="R16" s="23"/>
      <c r="S16" s="62"/>
      <c r="T16" s="7"/>
      <c r="U16" s="7"/>
      <c r="V16" s="7"/>
      <c r="W16" s="7"/>
      <c r="X16" s="7"/>
    </row>
    <row r="17" spans="2:24" x14ac:dyDescent="0.25">
      <c r="B17" s="36" t="s">
        <v>28</v>
      </c>
      <c r="C17" s="7"/>
      <c r="E17" s="51">
        <v>876</v>
      </c>
      <c r="G17" s="51">
        <v>912</v>
      </c>
      <c r="I17" s="9">
        <v>233</v>
      </c>
      <c r="J17" s="9">
        <v>230</v>
      </c>
      <c r="K17" s="9">
        <v>221</v>
      </c>
      <c r="L17" s="9">
        <v>211</v>
      </c>
      <c r="M17" s="51">
        <f t="shared" ref="M17:M26" si="2">+I17+J17+K17+L17</f>
        <v>895</v>
      </c>
      <c r="O17" s="9">
        <v>192</v>
      </c>
      <c r="P17" s="9">
        <v>127</v>
      </c>
      <c r="Q17" s="9">
        <v>141</v>
      </c>
      <c r="R17" s="9">
        <v>0</v>
      </c>
      <c r="S17" s="51">
        <f t="shared" ref="S17:S26" si="3">+O17+P17+Q17+R17</f>
        <v>460</v>
      </c>
      <c r="T17" s="7"/>
      <c r="U17" s="7"/>
      <c r="V17" s="7"/>
      <c r="W17" s="7"/>
      <c r="X17" s="7"/>
    </row>
    <row r="18" spans="2:24" ht="14.5" x14ac:dyDescent="0.25">
      <c r="B18" s="36" t="s">
        <v>76</v>
      </c>
      <c r="C18" s="7"/>
      <c r="E18" s="51">
        <v>249</v>
      </c>
      <c r="G18" s="51">
        <v>299</v>
      </c>
      <c r="I18" s="9">
        <v>83</v>
      </c>
      <c r="J18" s="9">
        <v>79</v>
      </c>
      <c r="K18" s="9">
        <f>65+1</f>
        <v>66</v>
      </c>
      <c r="L18" s="9">
        <v>62</v>
      </c>
      <c r="M18" s="51">
        <f t="shared" si="2"/>
        <v>290</v>
      </c>
      <c r="O18" s="9">
        <v>60</v>
      </c>
      <c r="P18" s="9">
        <v>69</v>
      </c>
      <c r="Q18" s="9">
        <v>64</v>
      </c>
      <c r="R18" s="9">
        <v>0</v>
      </c>
      <c r="S18" s="51">
        <f t="shared" si="3"/>
        <v>193</v>
      </c>
      <c r="T18" s="7"/>
      <c r="U18" s="7"/>
      <c r="V18" s="7"/>
      <c r="W18" s="7"/>
      <c r="X18" s="7"/>
    </row>
    <row r="19" spans="2:24" x14ac:dyDescent="0.25">
      <c r="B19" s="36" t="s">
        <v>29</v>
      </c>
      <c r="C19" s="7"/>
      <c r="E19" s="51">
        <v>544</v>
      </c>
      <c r="G19" s="51">
        <v>502</v>
      </c>
      <c r="I19" s="9">
        <v>118</v>
      </c>
      <c r="J19" s="9">
        <v>121</v>
      </c>
      <c r="K19" s="9">
        <v>118</v>
      </c>
      <c r="L19" s="9">
        <v>114</v>
      </c>
      <c r="M19" s="51">
        <f t="shared" si="2"/>
        <v>471</v>
      </c>
      <c r="O19" s="9">
        <v>119</v>
      </c>
      <c r="P19" s="9">
        <v>88</v>
      </c>
      <c r="Q19" s="9">
        <v>89</v>
      </c>
      <c r="R19" s="9">
        <v>0</v>
      </c>
      <c r="S19" s="51">
        <f t="shared" si="3"/>
        <v>296</v>
      </c>
      <c r="T19" s="7"/>
      <c r="U19" s="7"/>
      <c r="V19" s="7"/>
      <c r="W19" s="7"/>
      <c r="X19" s="7"/>
    </row>
    <row r="20" spans="2:24" x14ac:dyDescent="0.25">
      <c r="B20" s="36" t="s">
        <v>30</v>
      </c>
      <c r="C20" s="7"/>
      <c r="E20" s="51">
        <v>0</v>
      </c>
      <c r="G20" s="51">
        <v>0</v>
      </c>
      <c r="I20" s="9">
        <v>0</v>
      </c>
      <c r="J20" s="9">
        <v>0</v>
      </c>
      <c r="K20" s="9">
        <v>0</v>
      </c>
      <c r="L20" s="9">
        <v>0</v>
      </c>
      <c r="M20" s="51">
        <f t="shared" si="2"/>
        <v>0</v>
      </c>
      <c r="O20" s="9">
        <v>1736</v>
      </c>
      <c r="P20" s="9">
        <v>0</v>
      </c>
      <c r="Q20" s="9">
        <v>0</v>
      </c>
      <c r="R20" s="9">
        <v>0</v>
      </c>
      <c r="S20" s="51">
        <f t="shared" si="3"/>
        <v>1736</v>
      </c>
      <c r="T20" s="7"/>
      <c r="U20" s="7"/>
      <c r="V20" s="7"/>
      <c r="W20" s="7"/>
      <c r="X20" s="7"/>
    </row>
    <row r="21" spans="2:24" x14ac:dyDescent="0.25">
      <c r="B21" s="36" t="s">
        <v>31</v>
      </c>
      <c r="C21" s="7"/>
      <c r="E21" s="51">
        <v>136</v>
      </c>
      <c r="G21" s="51">
        <v>149</v>
      </c>
      <c r="I21" s="9">
        <v>41</v>
      </c>
      <c r="J21" s="9">
        <v>36</v>
      </c>
      <c r="K21" s="9">
        <v>42</v>
      </c>
      <c r="L21" s="9">
        <v>38</v>
      </c>
      <c r="M21" s="9">
        <f t="shared" si="2"/>
        <v>157</v>
      </c>
      <c r="O21" s="9">
        <v>41</v>
      </c>
      <c r="P21" s="9">
        <v>38</v>
      </c>
      <c r="Q21" s="9">
        <v>42</v>
      </c>
      <c r="R21" s="9">
        <v>0</v>
      </c>
      <c r="S21" s="9">
        <f t="shared" si="3"/>
        <v>121</v>
      </c>
      <c r="T21" s="7"/>
      <c r="U21" s="7"/>
      <c r="V21" s="7"/>
      <c r="W21" s="7"/>
      <c r="X21" s="7"/>
    </row>
    <row r="22" spans="2:24" x14ac:dyDescent="0.25">
      <c r="B22" s="36" t="s">
        <v>32</v>
      </c>
      <c r="C22" s="7"/>
      <c r="E22" s="51">
        <v>22</v>
      </c>
      <c r="G22" s="51">
        <v>34</v>
      </c>
      <c r="I22" s="9">
        <v>10</v>
      </c>
      <c r="J22" s="9">
        <v>10</v>
      </c>
      <c r="K22" s="9">
        <v>5</v>
      </c>
      <c r="L22" s="9">
        <v>4</v>
      </c>
      <c r="M22" s="9">
        <f t="shared" si="2"/>
        <v>29</v>
      </c>
      <c r="O22" s="9">
        <v>5</v>
      </c>
      <c r="P22" s="9">
        <v>2</v>
      </c>
      <c r="Q22" s="9">
        <v>2</v>
      </c>
      <c r="R22" s="9">
        <v>0</v>
      </c>
      <c r="S22" s="9">
        <f t="shared" si="3"/>
        <v>9</v>
      </c>
      <c r="T22" s="7"/>
      <c r="U22" s="7"/>
      <c r="V22" s="7"/>
      <c r="W22" s="7"/>
      <c r="X22" s="7"/>
    </row>
    <row r="23" spans="2:24" ht="14.5" x14ac:dyDescent="0.25">
      <c r="B23" s="36" t="s">
        <v>83</v>
      </c>
      <c r="C23" s="7"/>
      <c r="E23" s="51">
        <v>0</v>
      </c>
      <c r="G23" s="51">
        <f>250</f>
        <v>250</v>
      </c>
      <c r="I23" s="9">
        <v>100</v>
      </c>
      <c r="J23" s="9">
        <v>25</v>
      </c>
      <c r="K23" s="9">
        <v>45</v>
      </c>
      <c r="L23" s="9">
        <v>31</v>
      </c>
      <c r="M23" s="9">
        <f t="shared" si="2"/>
        <v>201</v>
      </c>
      <c r="O23" s="9">
        <v>24</v>
      </c>
      <c r="P23" s="9">
        <v>8</v>
      </c>
      <c r="Q23" s="9">
        <v>35</v>
      </c>
      <c r="R23" s="9"/>
      <c r="S23" s="9">
        <f t="shared" si="3"/>
        <v>67</v>
      </c>
      <c r="T23" s="7"/>
      <c r="U23" s="7"/>
      <c r="V23" s="7"/>
      <c r="W23" s="7"/>
      <c r="X23" s="7"/>
    </row>
    <row r="24" spans="2:24" x14ac:dyDescent="0.25">
      <c r="B24" s="36" t="s">
        <v>82</v>
      </c>
      <c r="C24" s="7"/>
      <c r="E24" s="51">
        <v>65</v>
      </c>
      <c r="G24" s="51">
        <f>61</f>
        <v>61</v>
      </c>
      <c r="I24" s="9">
        <v>24</v>
      </c>
      <c r="J24" s="9">
        <v>9</v>
      </c>
      <c r="K24" s="9">
        <v>18</v>
      </c>
      <c r="L24" s="9">
        <v>17</v>
      </c>
      <c r="M24" s="9">
        <f t="shared" si="2"/>
        <v>68</v>
      </c>
      <c r="O24" s="9">
        <v>16</v>
      </c>
      <c r="P24" s="9">
        <v>14</v>
      </c>
      <c r="Q24" s="9">
        <v>17</v>
      </c>
      <c r="R24" s="9"/>
      <c r="S24" s="9">
        <f t="shared" si="3"/>
        <v>47</v>
      </c>
      <c r="T24" s="7"/>
      <c r="U24" s="7"/>
      <c r="V24" s="7"/>
      <c r="W24" s="7"/>
      <c r="X24" s="7"/>
    </row>
    <row r="25" spans="2:24" ht="14.5" x14ac:dyDescent="0.25">
      <c r="B25" s="36" t="s">
        <v>79</v>
      </c>
      <c r="C25" s="7"/>
      <c r="E25" s="51">
        <v>0</v>
      </c>
      <c r="G25" s="51">
        <f>36</f>
        <v>36</v>
      </c>
      <c r="I25" s="9">
        <v>11</v>
      </c>
      <c r="J25" s="9">
        <v>9</v>
      </c>
      <c r="K25" s="9">
        <v>10</v>
      </c>
      <c r="L25" s="9">
        <v>10</v>
      </c>
      <c r="M25" s="9">
        <f t="shared" si="2"/>
        <v>40</v>
      </c>
      <c r="O25" s="9">
        <v>13</v>
      </c>
      <c r="P25" s="9">
        <v>8</v>
      </c>
      <c r="Q25" s="9">
        <v>10</v>
      </c>
      <c r="R25" s="9"/>
      <c r="S25" s="9">
        <f t="shared" si="3"/>
        <v>31</v>
      </c>
      <c r="T25" s="7"/>
      <c r="U25" s="7"/>
      <c r="V25" s="7"/>
      <c r="W25" s="7"/>
      <c r="X25" s="7"/>
    </row>
    <row r="26" spans="2:24" x14ac:dyDescent="0.25">
      <c r="B26" s="36" t="s">
        <v>80</v>
      </c>
      <c r="C26" s="7"/>
      <c r="E26" s="51">
        <f>106-65</f>
        <v>41</v>
      </c>
      <c r="G26" s="51">
        <f>399-250-61-36</f>
        <v>52</v>
      </c>
      <c r="I26" s="9">
        <f>148-100-24-11</f>
        <v>13</v>
      </c>
      <c r="J26" s="9">
        <f>55-25-9-9</f>
        <v>12</v>
      </c>
      <c r="K26" s="9">
        <f>81-45-18-10</f>
        <v>8</v>
      </c>
      <c r="L26" s="9">
        <f>79-31-17-10</f>
        <v>21</v>
      </c>
      <c r="M26" s="9">
        <f t="shared" si="2"/>
        <v>54</v>
      </c>
      <c r="O26" s="9">
        <f>69-24-16-13</f>
        <v>16</v>
      </c>
      <c r="P26" s="9">
        <f>67-14-8-8</f>
        <v>37</v>
      </c>
      <c r="Q26" s="9">
        <v>22</v>
      </c>
      <c r="R26" s="9">
        <v>0</v>
      </c>
      <c r="S26" s="9">
        <f t="shared" si="3"/>
        <v>75</v>
      </c>
      <c r="T26" s="7"/>
      <c r="U26" s="7"/>
      <c r="V26" s="7"/>
      <c r="W26" s="7"/>
      <c r="X26" s="7"/>
    </row>
    <row r="27" spans="2:24" x14ac:dyDescent="0.25">
      <c r="B27" s="6" t="s">
        <v>25</v>
      </c>
      <c r="C27" s="7"/>
      <c r="E27" s="8">
        <f>SUM(E17:E26)</f>
        <v>1933</v>
      </c>
      <c r="G27" s="8">
        <f>SUM(G17:G26)</f>
        <v>2295</v>
      </c>
      <c r="I27" s="8">
        <f>SUM(I17:I26)</f>
        <v>633</v>
      </c>
      <c r="J27" s="8">
        <f>SUM(J17:J26)</f>
        <v>531</v>
      </c>
      <c r="K27" s="8">
        <f>SUM(K17:K26)</f>
        <v>533</v>
      </c>
      <c r="L27" s="8">
        <f>SUM(L17:L26)</f>
        <v>508</v>
      </c>
      <c r="M27" s="8">
        <f>SUM(M17:M26)</f>
        <v>2205</v>
      </c>
      <c r="O27" s="8">
        <f>SUM(O17:O26)</f>
        <v>2222</v>
      </c>
      <c r="P27" s="8">
        <f>SUM(P17:P26)</f>
        <v>391</v>
      </c>
      <c r="Q27" s="8">
        <f>SUM(Q17:Q26)</f>
        <v>422</v>
      </c>
      <c r="R27" s="8">
        <f>SUM(R17:R26)</f>
        <v>0</v>
      </c>
      <c r="S27" s="8">
        <f>SUM(S17:S26)</f>
        <v>3035</v>
      </c>
      <c r="T27" s="7"/>
      <c r="U27" s="7"/>
      <c r="V27" s="7"/>
      <c r="W27" s="7"/>
      <c r="X27" s="7"/>
    </row>
    <row r="28" spans="2:24" ht="5.5" customHeight="1" x14ac:dyDescent="0.25">
      <c r="B28" s="6"/>
      <c r="C28" s="7"/>
      <c r="E28" s="62"/>
      <c r="G28" s="62"/>
      <c r="I28" s="23"/>
      <c r="J28" s="23"/>
      <c r="K28" s="23"/>
      <c r="L28" s="23"/>
      <c r="M28" s="23"/>
      <c r="O28" s="23"/>
      <c r="P28" s="23"/>
      <c r="Q28" s="23"/>
      <c r="R28" s="23"/>
      <c r="S28" s="23"/>
      <c r="T28" s="7"/>
      <c r="U28" s="7"/>
      <c r="V28" s="7"/>
      <c r="W28" s="7"/>
      <c r="X28" s="7"/>
    </row>
    <row r="29" spans="2:24" ht="13" x14ac:dyDescent="0.3">
      <c r="B29" s="1" t="s">
        <v>36</v>
      </c>
      <c r="C29" s="7"/>
      <c r="E29" s="16">
        <f>+E14-E27</f>
        <v>73</v>
      </c>
      <c r="G29" s="16">
        <f>+G14-G27</f>
        <v>769</v>
      </c>
      <c r="I29" s="16">
        <f>+I14-I27</f>
        <v>57</v>
      </c>
      <c r="J29" s="16">
        <f>+J14-J27</f>
        <v>122</v>
      </c>
      <c r="K29" s="16">
        <f>+K14-K27</f>
        <v>148</v>
      </c>
      <c r="L29" s="16">
        <f>+L14-L27</f>
        <v>102</v>
      </c>
      <c r="M29" s="16">
        <f>+M14-M27</f>
        <v>429</v>
      </c>
      <c r="O29" s="16">
        <f>+O14-O27</f>
        <v>-1649</v>
      </c>
      <c r="P29" s="16">
        <f>+P14-P27</f>
        <v>-115</v>
      </c>
      <c r="Q29" s="16">
        <f>+Q14-Q27</f>
        <v>-13</v>
      </c>
      <c r="R29" s="16">
        <f>+R14-R27</f>
        <v>0</v>
      </c>
      <c r="S29" s="16">
        <f>+S14-S27</f>
        <v>-1777</v>
      </c>
      <c r="T29" s="7"/>
      <c r="U29" s="7"/>
      <c r="V29" s="7"/>
      <c r="W29" s="7"/>
      <c r="X29" s="7"/>
    </row>
    <row r="30" spans="2:24" ht="4.1500000000000004" customHeight="1" x14ac:dyDescent="0.25">
      <c r="B30" s="6"/>
      <c r="C30" s="7"/>
      <c r="E30" s="62"/>
      <c r="G30" s="62"/>
      <c r="I30" s="23"/>
      <c r="J30" s="23"/>
      <c r="K30" s="23"/>
      <c r="L30" s="23"/>
      <c r="M30" s="23"/>
      <c r="O30" s="23"/>
      <c r="P30" s="23"/>
      <c r="Q30" s="23"/>
      <c r="R30" s="23"/>
      <c r="S30" s="23"/>
      <c r="T30" s="7"/>
      <c r="U30" s="7"/>
      <c r="V30" s="7"/>
      <c r="W30" s="7"/>
      <c r="X30" s="7"/>
    </row>
    <row r="31" spans="2:24" ht="13.9" customHeight="1" x14ac:dyDescent="0.3">
      <c r="B31" s="1" t="s">
        <v>37</v>
      </c>
      <c r="C31" s="7"/>
      <c r="E31" s="62"/>
      <c r="G31" s="62"/>
      <c r="I31" s="23"/>
      <c r="J31" s="23"/>
      <c r="K31" s="23"/>
      <c r="L31" s="23"/>
      <c r="M31" s="23"/>
      <c r="O31" s="23"/>
      <c r="P31" s="23"/>
      <c r="Q31" s="23"/>
      <c r="R31" s="23"/>
      <c r="S31" s="23"/>
      <c r="T31" s="7"/>
      <c r="U31" s="7"/>
      <c r="V31" s="7"/>
      <c r="W31" s="7"/>
      <c r="X31" s="7"/>
    </row>
    <row r="32" spans="2:24" ht="13.9" customHeight="1" x14ac:dyDescent="0.25">
      <c r="B32" s="67" t="s">
        <v>72</v>
      </c>
      <c r="C32" s="7"/>
      <c r="E32" s="51">
        <v>0</v>
      </c>
      <c r="G32" s="51">
        <v>0</v>
      </c>
      <c r="I32" s="9">
        <v>0</v>
      </c>
      <c r="J32" s="9">
        <v>0</v>
      </c>
      <c r="K32" s="9">
        <v>0</v>
      </c>
      <c r="L32" s="9">
        <v>0</v>
      </c>
      <c r="M32" s="9">
        <f t="shared" ref="M32:M36" si="4">+I32+J32+K32+L32</f>
        <v>0</v>
      </c>
      <c r="O32" s="9">
        <v>0</v>
      </c>
      <c r="P32" s="9">
        <v>0</v>
      </c>
      <c r="Q32" s="9">
        <v>66</v>
      </c>
      <c r="R32" s="9">
        <v>0</v>
      </c>
      <c r="S32" s="9">
        <f t="shared" ref="S32:S43" si="5">+O32+P32+Q32+R32</f>
        <v>66</v>
      </c>
      <c r="T32" s="7"/>
      <c r="U32" s="7"/>
      <c r="V32" s="7"/>
      <c r="W32" s="7"/>
      <c r="X32" s="7"/>
    </row>
    <row r="33" spans="2:24" ht="13.9" customHeight="1" x14ac:dyDescent="0.25">
      <c r="B33" s="67" t="s">
        <v>21</v>
      </c>
      <c r="C33" s="7"/>
      <c r="E33" s="51">
        <v>-343</v>
      </c>
      <c r="G33" s="51">
        <v>-379</v>
      </c>
      <c r="I33" s="9">
        <v>-100</v>
      </c>
      <c r="J33" s="9">
        <v>-98</v>
      </c>
      <c r="K33" s="9">
        <v>-95</v>
      </c>
      <c r="L33" s="9">
        <v>-90</v>
      </c>
      <c r="M33" s="9">
        <f t="shared" ref="M33" si="6">+I33+J33+K33+L33</f>
        <v>-383</v>
      </c>
      <c r="O33" s="9">
        <v>-87</v>
      </c>
      <c r="P33" s="9">
        <v>-85</v>
      </c>
      <c r="Q33" s="9">
        <v>-28</v>
      </c>
      <c r="R33" s="9">
        <v>0</v>
      </c>
      <c r="S33" s="9">
        <f t="shared" ref="S33" si="7">+O33+P33+Q33+R33</f>
        <v>-200</v>
      </c>
      <c r="T33" s="7"/>
      <c r="U33" s="7"/>
      <c r="V33" s="7"/>
      <c r="W33" s="7"/>
      <c r="X33" s="7"/>
    </row>
    <row r="34" spans="2:24" ht="13.9" customHeight="1" x14ac:dyDescent="0.25">
      <c r="B34" s="67" t="s">
        <v>48</v>
      </c>
      <c r="C34" s="7"/>
      <c r="E34" s="51">
        <v>4</v>
      </c>
      <c r="G34" s="51">
        <v>57</v>
      </c>
      <c r="I34" s="9">
        <v>6</v>
      </c>
      <c r="J34" s="9">
        <v>20</v>
      </c>
      <c r="K34" s="9">
        <v>82</v>
      </c>
      <c r="L34" s="9">
        <v>18</v>
      </c>
      <c r="M34" s="9">
        <f t="shared" si="4"/>
        <v>126</v>
      </c>
      <c r="O34" s="9">
        <v>5</v>
      </c>
      <c r="P34" s="9">
        <v>0</v>
      </c>
      <c r="Q34" s="9">
        <v>0</v>
      </c>
      <c r="R34" s="9">
        <v>0</v>
      </c>
      <c r="S34" s="9">
        <f t="shared" si="5"/>
        <v>5</v>
      </c>
      <c r="T34" s="7"/>
      <c r="U34" s="7"/>
      <c r="V34" s="7"/>
      <c r="W34" s="7"/>
      <c r="X34" s="7"/>
    </row>
    <row r="35" spans="2:24" ht="13.9" customHeight="1" x14ac:dyDescent="0.25">
      <c r="B35" s="67" t="s">
        <v>47</v>
      </c>
      <c r="C35" s="7"/>
      <c r="E35" s="51">
        <v>21</v>
      </c>
      <c r="G35" s="51">
        <v>5</v>
      </c>
      <c r="I35" s="9">
        <v>0</v>
      </c>
      <c r="J35" s="9">
        <v>0</v>
      </c>
      <c r="K35" s="9">
        <v>0</v>
      </c>
      <c r="L35" s="9">
        <v>0</v>
      </c>
      <c r="M35" s="51">
        <f t="shared" si="4"/>
        <v>0</v>
      </c>
      <c r="O35" s="9">
        <v>0</v>
      </c>
      <c r="P35" s="9">
        <v>0</v>
      </c>
      <c r="Q35" s="9">
        <v>0</v>
      </c>
      <c r="R35" s="9">
        <v>0</v>
      </c>
      <c r="S35" s="51">
        <f t="shared" si="5"/>
        <v>0</v>
      </c>
      <c r="T35" s="7"/>
      <c r="U35" s="7"/>
      <c r="V35" s="7"/>
      <c r="W35" s="7"/>
      <c r="X35" s="7"/>
    </row>
    <row r="36" spans="2:24" ht="13.9" customHeight="1" x14ac:dyDescent="0.25">
      <c r="B36" s="67" t="s">
        <v>73</v>
      </c>
      <c r="C36" s="7"/>
      <c r="E36" s="69">
        <v>-17</v>
      </c>
      <c r="G36" s="69">
        <v>-23</v>
      </c>
      <c r="I36" s="68">
        <f>-4-3</f>
        <v>-7</v>
      </c>
      <c r="J36" s="68">
        <v>-3</v>
      </c>
      <c r="K36" s="68">
        <v>-8</v>
      </c>
      <c r="L36" s="68">
        <f>-50-4</f>
        <v>-54</v>
      </c>
      <c r="M36" s="69">
        <f t="shared" si="4"/>
        <v>-72</v>
      </c>
      <c r="O36" s="68">
        <v>-14</v>
      </c>
      <c r="P36" s="68">
        <v>-47</v>
      </c>
      <c r="Q36" s="68">
        <v>-32</v>
      </c>
      <c r="R36" s="68">
        <v>0</v>
      </c>
      <c r="S36" s="69">
        <f t="shared" si="5"/>
        <v>-93</v>
      </c>
      <c r="T36" s="7"/>
      <c r="U36" s="7"/>
      <c r="V36" s="7"/>
      <c r="W36" s="7"/>
      <c r="X36" s="7"/>
    </row>
    <row r="37" spans="2:24" ht="14.65" customHeight="1" x14ac:dyDescent="0.3">
      <c r="B37" s="1" t="s">
        <v>33</v>
      </c>
      <c r="C37" s="7"/>
      <c r="E37" s="9">
        <f>+E29+E32+E33+E34+E36+E35</f>
        <v>-262</v>
      </c>
      <c r="G37" s="9">
        <f>+G29+G32+G33+G34+G36+G35</f>
        <v>429</v>
      </c>
      <c r="I37" s="9">
        <f t="shared" ref="I37:M37" si="8">+I29+I32+I33+I34+I36+I35</f>
        <v>-44</v>
      </c>
      <c r="J37" s="9">
        <f t="shared" si="8"/>
        <v>41</v>
      </c>
      <c r="K37" s="9">
        <f t="shared" si="8"/>
        <v>127</v>
      </c>
      <c r="L37" s="9">
        <f t="shared" si="8"/>
        <v>-24</v>
      </c>
      <c r="M37" s="9">
        <f t="shared" si="8"/>
        <v>100</v>
      </c>
      <c r="O37" s="9">
        <f t="shared" ref="O37" si="9">+O29+O32+O33+O34+O36+O35</f>
        <v>-1745</v>
      </c>
      <c r="P37" s="9">
        <f t="shared" ref="P37" si="10">+P29+P32+P33+P34+P36+P35</f>
        <v>-247</v>
      </c>
      <c r="Q37" s="9">
        <f t="shared" ref="Q37" si="11">+Q29+Q32+Q33+Q34+Q36+Q35</f>
        <v>-7</v>
      </c>
      <c r="R37" s="9">
        <f t="shared" ref="R37" si="12">+R29+R32+R33+R34+R36+R35</f>
        <v>0</v>
      </c>
      <c r="S37" s="9">
        <f t="shared" ref="S37" si="13">+S29+S32+S33+S34+S36+S35</f>
        <v>-1999</v>
      </c>
      <c r="T37" s="7"/>
      <c r="U37" s="7"/>
      <c r="V37" s="7"/>
      <c r="W37" s="7"/>
      <c r="X37" s="7"/>
    </row>
    <row r="38" spans="2:24" ht="14.65" customHeight="1" x14ac:dyDescent="0.25">
      <c r="B38" s="36" t="s">
        <v>62</v>
      </c>
      <c r="C38" s="7"/>
      <c r="E38" s="51">
        <v>0</v>
      </c>
      <c r="G38" s="51">
        <v>0</v>
      </c>
      <c r="I38" s="9">
        <v>0</v>
      </c>
      <c r="J38" s="9">
        <v>0</v>
      </c>
      <c r="K38" s="9">
        <v>0</v>
      </c>
      <c r="L38" s="9">
        <v>-1</v>
      </c>
      <c r="M38" s="51">
        <f t="shared" ref="M38" si="14">+I38+J38+K38+L38</f>
        <v>-1</v>
      </c>
      <c r="O38" s="9">
        <v>0</v>
      </c>
      <c r="P38" s="9">
        <v>0</v>
      </c>
      <c r="Q38" s="9">
        <v>0</v>
      </c>
      <c r="R38" s="9">
        <v>0</v>
      </c>
      <c r="S38" s="51">
        <f t="shared" si="5"/>
        <v>0</v>
      </c>
      <c r="T38" s="7"/>
      <c r="U38" s="7"/>
      <c r="V38" s="7"/>
      <c r="W38" s="7"/>
      <c r="X38" s="7"/>
    </row>
    <row r="39" spans="2:24" s="10" customFormat="1" ht="14.65" customHeight="1" x14ac:dyDescent="0.3">
      <c r="B39" s="1" t="s">
        <v>34</v>
      </c>
      <c r="C39" s="28"/>
      <c r="D39" s="27"/>
      <c r="E39" s="17">
        <f>+E37+E38</f>
        <v>-262</v>
      </c>
      <c r="G39" s="17">
        <f>+G37+G38</f>
        <v>429</v>
      </c>
      <c r="I39" s="17">
        <f>+I37+I38</f>
        <v>-44</v>
      </c>
      <c r="J39" s="17">
        <f>+J37+J38</f>
        <v>41</v>
      </c>
      <c r="K39" s="17">
        <f>+K37+K38</f>
        <v>127</v>
      </c>
      <c r="L39" s="17">
        <f>+L37+L38</f>
        <v>-25</v>
      </c>
      <c r="M39" s="17">
        <f t="shared" ref="M39" si="15">+M37+M38</f>
        <v>99</v>
      </c>
      <c r="O39" s="17">
        <f>+O37+O38</f>
        <v>-1745</v>
      </c>
      <c r="P39" s="17">
        <f>+P37+P38</f>
        <v>-247</v>
      </c>
      <c r="Q39" s="17">
        <f>+Q37+Q38</f>
        <v>-7</v>
      </c>
      <c r="R39" s="17">
        <f>+R37+R38</f>
        <v>0</v>
      </c>
      <c r="S39" s="17">
        <f t="shared" ref="S39" si="16">+S37+S38</f>
        <v>-1999</v>
      </c>
      <c r="T39" s="7"/>
      <c r="U39" s="7"/>
      <c r="V39" s="7"/>
      <c r="W39" s="7"/>
      <c r="X39" s="7"/>
    </row>
    <row r="40" spans="2:24" s="10" customFormat="1" ht="3.65" customHeight="1" x14ac:dyDescent="0.3">
      <c r="B40" s="1"/>
      <c r="C40" s="28"/>
      <c r="D40" s="27"/>
      <c r="E40" s="16"/>
      <c r="G40" s="16"/>
      <c r="I40" s="16"/>
      <c r="J40" s="16"/>
      <c r="K40" s="16"/>
      <c r="L40" s="16"/>
      <c r="M40" s="16"/>
      <c r="O40" s="16"/>
      <c r="P40" s="16"/>
      <c r="Q40" s="16"/>
      <c r="R40" s="16"/>
      <c r="S40" s="16"/>
      <c r="T40" s="7"/>
      <c r="U40" s="7"/>
      <c r="V40" s="7"/>
      <c r="W40" s="7"/>
      <c r="X40" s="7"/>
    </row>
    <row r="41" spans="2:24" s="10" customFormat="1" ht="14.65" customHeight="1" x14ac:dyDescent="0.3">
      <c r="B41" s="85" t="s">
        <v>60</v>
      </c>
      <c r="C41" s="28"/>
      <c r="D41" s="27"/>
      <c r="E41" s="16"/>
      <c r="G41" s="16"/>
      <c r="I41" s="16"/>
      <c r="J41" s="38"/>
      <c r="K41" s="38"/>
      <c r="L41" s="38"/>
      <c r="M41" s="16"/>
      <c r="N41" s="71"/>
      <c r="O41" s="16"/>
      <c r="P41" s="38"/>
      <c r="Q41" s="38"/>
      <c r="R41" s="38"/>
      <c r="S41" s="16"/>
      <c r="T41" s="7"/>
      <c r="U41" s="7"/>
      <c r="V41" s="7"/>
      <c r="W41" s="7"/>
      <c r="X41" s="7"/>
    </row>
    <row r="42" spans="2:24" s="10" customFormat="1" ht="14.65" customHeight="1" x14ac:dyDescent="0.3">
      <c r="B42" s="73" t="s">
        <v>58</v>
      </c>
      <c r="C42" s="28"/>
      <c r="D42" s="27"/>
      <c r="E42" s="16">
        <v>0</v>
      </c>
      <c r="G42" s="16">
        <v>-99</v>
      </c>
      <c r="I42" s="16">
        <v>-28</v>
      </c>
      <c r="J42" s="38">
        <v>-29</v>
      </c>
      <c r="K42" s="38">
        <v>-30</v>
      </c>
      <c r="L42" s="38">
        <v>-30</v>
      </c>
      <c r="M42" s="9">
        <f t="shared" ref="M42:M43" si="17">+I42+J42+K42+L42</f>
        <v>-117</v>
      </c>
      <c r="O42" s="16">
        <v>-30</v>
      </c>
      <c r="P42" s="38">
        <v>-30</v>
      </c>
      <c r="Q42" s="38">
        <v>-22</v>
      </c>
      <c r="R42" s="38">
        <v>0</v>
      </c>
      <c r="S42" s="9">
        <f t="shared" si="5"/>
        <v>-82</v>
      </c>
      <c r="T42" s="7"/>
      <c r="U42" s="7"/>
      <c r="V42" s="7"/>
      <c r="W42" s="7"/>
      <c r="X42" s="7"/>
    </row>
    <row r="43" spans="2:24" s="10" customFormat="1" ht="14.65" customHeight="1" x14ac:dyDescent="0.3">
      <c r="B43" s="73" t="s">
        <v>59</v>
      </c>
      <c r="C43" s="28"/>
      <c r="D43" s="27"/>
      <c r="E43" s="16">
        <v>-4</v>
      </c>
      <c r="G43" s="16">
        <v>-2</v>
      </c>
      <c r="I43" s="68">
        <v>5</v>
      </c>
      <c r="J43" s="82">
        <v>0</v>
      </c>
      <c r="K43" s="82">
        <v>-3</v>
      </c>
      <c r="L43" s="82">
        <f>-6-6</f>
        <v>-12</v>
      </c>
      <c r="M43" s="9">
        <f t="shared" si="17"/>
        <v>-10</v>
      </c>
      <c r="O43" s="68">
        <v>-21</v>
      </c>
      <c r="P43" s="82">
        <v>6</v>
      </c>
      <c r="Q43" s="82">
        <v>0</v>
      </c>
      <c r="R43" s="82">
        <v>0</v>
      </c>
      <c r="S43" s="9">
        <f t="shared" si="5"/>
        <v>-15</v>
      </c>
      <c r="T43" s="7"/>
      <c r="U43" s="7"/>
      <c r="V43" s="7"/>
      <c r="W43" s="7"/>
      <c r="X43" s="7"/>
    </row>
    <row r="44" spans="2:24" s="10" customFormat="1" ht="14.65" customHeight="1" x14ac:dyDescent="0.3">
      <c r="B44" s="73" t="s">
        <v>61</v>
      </c>
      <c r="C44" s="28"/>
      <c r="D44" s="27"/>
      <c r="E44" s="17">
        <f>SUM(E42:E43)</f>
        <v>-4</v>
      </c>
      <c r="G44" s="17">
        <f>SUM(G42:G43)</f>
        <v>-101</v>
      </c>
      <c r="I44" s="16">
        <f>SUM(I42:I43)</f>
        <v>-23</v>
      </c>
      <c r="J44" s="16">
        <f>SUM(J42:J43)</f>
        <v>-29</v>
      </c>
      <c r="K44" s="16">
        <f>SUM(K42:K43)</f>
        <v>-33</v>
      </c>
      <c r="L44" s="16">
        <f>SUM(L42:L43)</f>
        <v>-42</v>
      </c>
      <c r="M44" s="17">
        <f>SUM(M42:M43)</f>
        <v>-127</v>
      </c>
      <c r="O44" s="16">
        <f>SUM(O42:O43)</f>
        <v>-51</v>
      </c>
      <c r="P44" s="16">
        <f>SUM(P42:P43)</f>
        <v>-24</v>
      </c>
      <c r="Q44" s="16">
        <f>SUM(Q42:Q43)</f>
        <v>-22</v>
      </c>
      <c r="R44" s="16">
        <f>SUM(R42:R43)</f>
        <v>0</v>
      </c>
      <c r="S44" s="17">
        <f>SUM(S42:S43)</f>
        <v>-97</v>
      </c>
      <c r="T44" s="7"/>
      <c r="U44" s="7"/>
      <c r="V44" s="7"/>
      <c r="W44" s="7"/>
      <c r="X44" s="7"/>
    </row>
    <row r="45" spans="2:24" s="10" customFormat="1" ht="4.1500000000000004" customHeight="1" x14ac:dyDescent="0.3">
      <c r="B45" s="73"/>
      <c r="C45" s="28"/>
      <c r="D45" s="27"/>
      <c r="E45" s="16"/>
      <c r="G45" s="16"/>
      <c r="I45" s="16"/>
      <c r="J45" s="38"/>
      <c r="K45" s="38"/>
      <c r="L45" s="38"/>
      <c r="M45" s="16"/>
      <c r="O45" s="16"/>
      <c r="P45" s="38"/>
      <c r="Q45" s="38"/>
      <c r="R45" s="38"/>
      <c r="S45" s="16"/>
      <c r="T45" s="7"/>
      <c r="U45" s="7"/>
      <c r="V45" s="7"/>
      <c r="W45" s="7"/>
      <c r="X45" s="7"/>
    </row>
    <row r="46" spans="2:24" ht="14.65" customHeight="1" thickBot="1" x14ac:dyDescent="0.35">
      <c r="B46" s="1" t="s">
        <v>35</v>
      </c>
      <c r="E46" s="72">
        <f>+E39+E44</f>
        <v>-266</v>
      </c>
      <c r="G46" s="72">
        <f>+G39+G44</f>
        <v>328</v>
      </c>
      <c r="I46" s="72">
        <f>+I39+I44</f>
        <v>-67</v>
      </c>
      <c r="J46" s="72">
        <f>+J39+J44</f>
        <v>12</v>
      </c>
      <c r="K46" s="72">
        <f>+K39+K44</f>
        <v>94</v>
      </c>
      <c r="L46" s="72">
        <f>+L39+L44</f>
        <v>-67</v>
      </c>
      <c r="M46" s="72">
        <f>+M39+M44</f>
        <v>-28</v>
      </c>
      <c r="O46" s="72">
        <f>+O39+O44</f>
        <v>-1796</v>
      </c>
      <c r="P46" s="72">
        <f>+P39+P44</f>
        <v>-271</v>
      </c>
      <c r="Q46" s="72">
        <f>+Q39+Q44</f>
        <v>-29</v>
      </c>
      <c r="R46" s="72">
        <f>+R39+R44</f>
        <v>0</v>
      </c>
      <c r="S46" s="72">
        <f>+S39+S44</f>
        <v>-2096</v>
      </c>
      <c r="T46" s="7"/>
      <c r="U46" s="7"/>
      <c r="V46" s="7"/>
      <c r="W46" s="7"/>
      <c r="X46" s="7"/>
    </row>
    <row r="47" spans="2:24" ht="13" thickTop="1" x14ac:dyDescent="0.25">
      <c r="C47" s="11"/>
      <c r="K47" s="33"/>
      <c r="Q47" s="33"/>
    </row>
    <row r="48" spans="2:24" ht="13" x14ac:dyDescent="0.3">
      <c r="I48" s="10"/>
      <c r="J48" s="10"/>
      <c r="K48" s="33"/>
      <c r="O48" s="10"/>
      <c r="P48" s="10"/>
      <c r="Q48" s="33"/>
    </row>
    <row r="49" spans="1:25" ht="16" thickBot="1" x14ac:dyDescent="0.4">
      <c r="B49" s="24" t="s">
        <v>44</v>
      </c>
      <c r="C49" s="26"/>
      <c r="D49" s="41"/>
      <c r="E49" s="26"/>
      <c r="F49" s="26"/>
      <c r="G49" s="26"/>
      <c r="H49" s="26"/>
      <c r="I49" s="26"/>
      <c r="J49" s="26"/>
      <c r="K49" s="41"/>
      <c r="L49" s="26"/>
      <c r="M49" s="26"/>
      <c r="N49" s="26"/>
      <c r="O49" s="26"/>
      <c r="P49" s="26"/>
      <c r="Q49" s="41"/>
      <c r="R49" s="26"/>
      <c r="S49" s="26"/>
    </row>
    <row r="50" spans="1:25" ht="4.5" customHeight="1" thickTop="1" x14ac:dyDescent="0.35">
      <c r="B50" s="47"/>
      <c r="C50" s="11"/>
      <c r="D50" s="48"/>
      <c r="E50" s="11"/>
      <c r="I50" s="11"/>
      <c r="J50" s="11"/>
      <c r="K50" s="48"/>
      <c r="L50" s="11"/>
      <c r="M50" s="11"/>
      <c r="O50" s="11"/>
      <c r="P50" s="11"/>
      <c r="Q50" s="48"/>
      <c r="R50" s="11"/>
      <c r="S50" s="11"/>
    </row>
    <row r="51" spans="1:25" ht="15.5" x14ac:dyDescent="0.35">
      <c r="B51" s="47"/>
      <c r="C51" s="11"/>
      <c r="E51" s="30">
        <f>+E7</f>
        <v>2017</v>
      </c>
      <c r="G51" s="30">
        <f>+G7</f>
        <v>2018</v>
      </c>
      <c r="I51" s="30" t="str">
        <f>+I7</f>
        <v>1Q 2019</v>
      </c>
      <c r="J51" s="30" t="str">
        <f>+J7</f>
        <v>2Q 2019</v>
      </c>
      <c r="K51" s="30" t="str">
        <f>+K7</f>
        <v>3Q 2019</v>
      </c>
      <c r="L51" s="30" t="str">
        <f>+L7</f>
        <v>4Q 2019</v>
      </c>
      <c r="M51" s="30" t="str">
        <f>+M7</f>
        <v>Total</v>
      </c>
      <c r="O51" s="30" t="str">
        <f>+O7</f>
        <v>1Q 2020</v>
      </c>
      <c r="P51" s="30" t="str">
        <f>+P7</f>
        <v>2Q 2020</v>
      </c>
      <c r="Q51" s="30" t="str">
        <f>+Q7</f>
        <v>3Q 2020</v>
      </c>
      <c r="R51" s="30" t="str">
        <f>+R7</f>
        <v>4Q 2020</v>
      </c>
      <c r="S51" s="30" t="str">
        <f>+S7</f>
        <v>Total</v>
      </c>
    </row>
    <row r="52" spans="1:25" ht="13" x14ac:dyDescent="0.3">
      <c r="A52" t="s">
        <v>22</v>
      </c>
      <c r="B52" s="1" t="s">
        <v>26</v>
      </c>
      <c r="C52" s="2"/>
      <c r="K52" s="33"/>
      <c r="Q52" s="33"/>
    </row>
    <row r="53" spans="1:25" x14ac:dyDescent="0.25">
      <c r="B53" s="36" t="s">
        <v>43</v>
      </c>
      <c r="C53" s="7"/>
      <c r="E53" s="43">
        <f>E9/(E104)*1000</f>
        <v>41.193242265628321</v>
      </c>
      <c r="G53" s="43">
        <f>G9/(G103)*1000</f>
        <v>53.620968075856069</v>
      </c>
      <c r="I53" s="43">
        <f>I9/(I103)*1000</f>
        <v>50.18370073480294</v>
      </c>
      <c r="J53" s="43">
        <f>J9/(J103)*1000</f>
        <v>49.308991639651936</v>
      </c>
      <c r="K53" s="43">
        <f>K9/(K103)*1000</f>
        <v>46.073922670754563</v>
      </c>
      <c r="L53" s="43">
        <f>L9/(L103)*1000</f>
        <v>48.65964788109352</v>
      </c>
      <c r="M53" s="43">
        <f>M9/(M103)*1000</f>
        <v>48.5925291662207</v>
      </c>
      <c r="O53" s="43">
        <f>O9/(O103)*1000+0.01</f>
        <v>38.924027149321269</v>
      </c>
      <c r="P53" s="43">
        <f>P9/(P103)*1000</f>
        <v>23.960880195599024</v>
      </c>
      <c r="Q53" s="43">
        <f>Q9/(Q103)*1000</f>
        <v>32.135132351426506</v>
      </c>
      <c r="R53" s="43">
        <f>R9/(R103)*1000</f>
        <v>0</v>
      </c>
      <c r="S53" s="43">
        <f>S9/(S103)*1000</f>
        <v>31.856179195042447</v>
      </c>
      <c r="T53" s="7"/>
      <c r="U53" s="7"/>
      <c r="V53" s="7"/>
      <c r="W53" s="7"/>
      <c r="X53" s="7"/>
    </row>
    <row r="54" spans="1:25" x14ac:dyDescent="0.25">
      <c r="B54" s="36" t="s">
        <v>46</v>
      </c>
      <c r="C54" s="7"/>
      <c r="E54" s="66">
        <f>E10/(E104)*1000</f>
        <v>-1.9149751053236308</v>
      </c>
      <c r="G54" s="66">
        <f>G10/(G$103)*1000</f>
        <v>2.0703076477164507E-2</v>
      </c>
      <c r="I54" s="66">
        <f t="shared" ref="I54:M56" si="18">I10/(I$103)*1000</f>
        <v>-7.4315297261189048</v>
      </c>
      <c r="J54" s="66">
        <f t="shared" si="18"/>
        <v>1.7915031564579424</v>
      </c>
      <c r="K54" s="66">
        <f t="shared" si="18"/>
        <v>3.1510815874638052</v>
      </c>
      <c r="L54" s="66">
        <f t="shared" si="18"/>
        <v>-2.4772184375829429</v>
      </c>
      <c r="M54" s="66">
        <f t="shared" si="18"/>
        <v>-1.2629776303114633</v>
      </c>
      <c r="O54" s="66">
        <f t="shared" ref="O54:S55" si="19">O10/(O$103)*1000</f>
        <v>7.1493212669683261</v>
      </c>
      <c r="P54" s="66">
        <f t="shared" si="19"/>
        <v>-0.39119804400977998</v>
      </c>
      <c r="Q54" s="66">
        <f t="shared" si="19"/>
        <v>0</v>
      </c>
      <c r="R54" s="66">
        <f t="shared" si="19"/>
        <v>0</v>
      </c>
      <c r="S54" s="66">
        <f t="shared" si="19"/>
        <v>2.4206823096536811</v>
      </c>
      <c r="T54" s="7"/>
      <c r="U54" s="7"/>
      <c r="V54" s="7"/>
      <c r="W54" s="7"/>
      <c r="X54" s="7"/>
    </row>
    <row r="55" spans="1:25" x14ac:dyDescent="0.25">
      <c r="B55" s="36" t="s">
        <v>81</v>
      </c>
      <c r="C55" s="7"/>
      <c r="E55" s="66">
        <f>E11/(E104)*1000</f>
        <v>0.68088003744840209</v>
      </c>
      <c r="G55" s="66">
        <f>G11/(G$103)*1000</f>
        <v>6.8320152374642875</v>
      </c>
      <c r="I55" s="66">
        <f t="shared" si="18"/>
        <v>11.272545090180362</v>
      </c>
      <c r="J55" s="66">
        <f t="shared" si="18"/>
        <v>2.815219245862481</v>
      </c>
      <c r="K55" s="66">
        <f t="shared" si="18"/>
        <v>5.2801907681825924</v>
      </c>
      <c r="L55" s="66">
        <f t="shared" si="18"/>
        <v>4.9544368751658858</v>
      </c>
      <c r="M55" s="66">
        <f t="shared" si="18"/>
        <v>6.1222305469335332</v>
      </c>
      <c r="O55" s="66">
        <f t="shared" si="19"/>
        <v>4.0723981900452495</v>
      </c>
      <c r="P55" s="66">
        <f t="shared" si="19"/>
        <v>1.3691931540342299</v>
      </c>
      <c r="Q55" s="66">
        <f t="shared" si="19"/>
        <v>5.1498609537542483</v>
      </c>
      <c r="R55" s="66">
        <f t="shared" si="19"/>
        <v>0</v>
      </c>
      <c r="S55" s="66">
        <f t="shared" si="19"/>
        <v>3.5180582900300168</v>
      </c>
      <c r="T55" s="7"/>
      <c r="U55" s="7"/>
      <c r="V55" s="7"/>
      <c r="W55" s="7"/>
      <c r="X55" s="7"/>
    </row>
    <row r="56" spans="1:25" x14ac:dyDescent="0.25">
      <c r="B56" s="36" t="s">
        <v>71</v>
      </c>
      <c r="C56" s="7"/>
      <c r="E56" s="66">
        <f>E12/(E104)*1000</f>
        <v>2.6596876462828205</v>
      </c>
      <c r="G56" s="66">
        <f>G12/(G$103)*1000</f>
        <v>2.2980414889652603</v>
      </c>
      <c r="I56" s="66">
        <f t="shared" si="18"/>
        <v>2.8390113560454244</v>
      </c>
      <c r="J56" s="66">
        <f t="shared" si="18"/>
        <v>1.364954785872718</v>
      </c>
      <c r="K56" s="66">
        <f t="shared" si="18"/>
        <v>3.2362459546925568</v>
      </c>
      <c r="L56" s="66">
        <f t="shared" si="18"/>
        <v>2.1233300893568079</v>
      </c>
      <c r="M56" s="66">
        <f t="shared" si="18"/>
        <v>2.3975168575404049</v>
      </c>
      <c r="O56" s="66">
        <f>O12/(O$103)*1000</f>
        <v>1.1764705882352939</v>
      </c>
      <c r="P56" s="66">
        <f>P12/(P$103)*1000-0.01</f>
        <v>1.8481907090464549</v>
      </c>
      <c r="Q56" s="66">
        <f>Q12/(Q$103)*1000</f>
        <v>4.4288804202286531</v>
      </c>
      <c r="R56" s="66">
        <f>R12/(R$103)*1000</f>
        <v>0</v>
      </c>
      <c r="S56" s="66">
        <f>S12/(S$103)*1000</f>
        <v>2.4206823096536811</v>
      </c>
      <c r="T56" s="7"/>
      <c r="U56" s="7"/>
      <c r="V56" s="7"/>
      <c r="W56" s="7"/>
      <c r="X56" s="89"/>
      <c r="Y56" s="89"/>
    </row>
    <row r="57" spans="1:25" x14ac:dyDescent="0.25">
      <c r="B57" s="36" t="s">
        <v>27</v>
      </c>
      <c r="C57" s="7"/>
      <c r="E57" s="45">
        <f>E13/(E104)*1000</f>
        <v>6.3832503510787689E-2</v>
      </c>
      <c r="G57" s="45">
        <f>G13/(G103)*1000</f>
        <v>0.66249844726926421</v>
      </c>
      <c r="I57" s="45">
        <f>I13/(I103)*1000+0.01</f>
        <v>0.76150300601202403</v>
      </c>
      <c r="J57" s="45">
        <f>J13/(J103)*1000</f>
        <v>0.42654837058522438</v>
      </c>
      <c r="K57" s="45">
        <f>K13/(K103)*1000-0.01</f>
        <v>0.24549310168625449</v>
      </c>
      <c r="L57" s="45">
        <f>L13/(L103)*1000+0.01</f>
        <v>0.71777669645226938</v>
      </c>
      <c r="M57" s="45">
        <f>M13/(M103)*1000-0.01</f>
        <v>0.52516001284384028</v>
      </c>
      <c r="O57" s="45">
        <f>O13/(O103)*1000</f>
        <v>0.54298642533936659</v>
      </c>
      <c r="P57" s="45">
        <f>P13/(P103)*1000</f>
        <v>0.19559902200488999</v>
      </c>
      <c r="Q57" s="45">
        <f>Q13/(Q103)*1000</f>
        <v>0.41198887630033987</v>
      </c>
      <c r="R57" s="45">
        <f>R13/(R103)*1000</f>
        <v>0</v>
      </c>
      <c r="S57" s="45">
        <f>S13/(S103)*1000</f>
        <v>0.38730916954458899</v>
      </c>
      <c r="T57" s="89"/>
      <c r="U57" s="89"/>
      <c r="V57" s="7"/>
      <c r="W57" s="7"/>
      <c r="X57" s="89"/>
      <c r="Y57" s="89"/>
    </row>
    <row r="58" spans="1:25" ht="14.5" x14ac:dyDescent="0.25">
      <c r="B58" s="6" t="s">
        <v>74</v>
      </c>
      <c r="C58" s="7"/>
      <c r="E58" s="44">
        <f>SUM(E53:E57)</f>
        <v>42.682667347546705</v>
      </c>
      <c r="G58" s="44">
        <f>SUM(G53:G57)</f>
        <v>63.434226326032046</v>
      </c>
      <c r="I58" s="44">
        <f>SUM(I53:I57)-0.01</f>
        <v>57.615230460921858</v>
      </c>
      <c r="J58" s="44">
        <f>SUM(J53:J57)</f>
        <v>55.7072171984303</v>
      </c>
      <c r="K58" s="52">
        <f>SUM(K53:K57)</f>
        <v>57.986934082779776</v>
      </c>
      <c r="L58" s="52">
        <f>SUM(L53:L57)-0.01</f>
        <v>53.967973104485544</v>
      </c>
      <c r="M58" s="52">
        <f>SUM(M53:M57)+0.01</f>
        <v>56.384458953227011</v>
      </c>
      <c r="O58" s="44">
        <f>SUM(O53:O57)-0.01</f>
        <v>51.85520361990951</v>
      </c>
      <c r="P58" s="44">
        <f>SUM(P53:P57)+0.01</f>
        <v>26.992665036674826</v>
      </c>
      <c r="Q58" s="52">
        <f>SUM(Q53:Q57)</f>
        <v>42.125862601709748</v>
      </c>
      <c r="R58" s="52">
        <f>SUM(R53:R57)</f>
        <v>0</v>
      </c>
      <c r="S58" s="52">
        <f>SUM(S53:S57)+0.01</f>
        <v>40.612911273924411</v>
      </c>
      <c r="T58" s="89"/>
      <c r="U58" s="89"/>
      <c r="V58" s="7"/>
      <c r="W58" s="7"/>
      <c r="X58" s="89"/>
      <c r="Y58" s="89"/>
    </row>
    <row r="59" spans="1:25" ht="11.5" customHeight="1" x14ac:dyDescent="0.25">
      <c r="B59" s="6"/>
      <c r="C59" s="7"/>
      <c r="E59" s="31"/>
      <c r="G59" s="31"/>
      <c r="I59" s="31"/>
      <c r="J59" s="31"/>
      <c r="K59" s="65"/>
      <c r="L59" s="65"/>
      <c r="M59" s="65"/>
      <c r="O59" s="31"/>
      <c r="P59" s="31"/>
      <c r="Q59" s="65"/>
      <c r="R59" s="65"/>
      <c r="S59" s="65"/>
      <c r="T59" s="7"/>
      <c r="U59" s="7"/>
      <c r="V59" s="7"/>
      <c r="W59" s="7"/>
      <c r="X59" s="89"/>
      <c r="Y59" s="89"/>
    </row>
    <row r="60" spans="1:25" ht="13" x14ac:dyDescent="0.3">
      <c r="B60" s="1" t="s">
        <v>24</v>
      </c>
      <c r="C60" s="7"/>
      <c r="E60" s="31"/>
      <c r="G60" s="31"/>
      <c r="I60" s="31"/>
      <c r="J60" s="31"/>
      <c r="K60" s="65"/>
      <c r="L60" s="65"/>
      <c r="M60" s="65"/>
      <c r="O60" s="31"/>
      <c r="P60" s="31"/>
      <c r="Q60" s="65"/>
      <c r="R60" s="65"/>
      <c r="S60" s="65"/>
      <c r="T60" s="7"/>
      <c r="U60" s="7"/>
      <c r="V60" s="7"/>
      <c r="W60" s="7"/>
      <c r="X60" s="89"/>
      <c r="Y60" s="89"/>
    </row>
    <row r="61" spans="1:25" x14ac:dyDescent="0.25">
      <c r="B61" s="36" t="s">
        <v>28</v>
      </c>
      <c r="C61" s="7"/>
      <c r="E61" s="44">
        <f>E17/(E104)*1000</f>
        <v>18.639091025150009</v>
      </c>
      <c r="G61" s="44">
        <f>G17/(G103)*1000</f>
        <v>18.881205747174029</v>
      </c>
      <c r="I61" s="44">
        <f>I17/(I103)*1000</f>
        <v>19.455577822311291</v>
      </c>
      <c r="J61" s="44">
        <f>J17/(J103)*1000</f>
        <v>19.621225046920323</v>
      </c>
      <c r="K61" s="52">
        <f>K17/(K103)*1000</f>
        <v>18.821325157554082</v>
      </c>
      <c r="L61" s="52">
        <f>L17/(L103)*1000</f>
        <v>18.667610368928603</v>
      </c>
      <c r="M61" s="52">
        <f>M17/(M103)*1000</f>
        <v>19.158728459809481</v>
      </c>
      <c r="O61" s="44">
        <f>O17/(O103)*1000</f>
        <v>17.375565610859731</v>
      </c>
      <c r="P61" s="44">
        <f>P17/(P103)*1000</f>
        <v>12.420537897310513</v>
      </c>
      <c r="Q61" s="52">
        <f>Q17/(Q103)*1000</f>
        <v>14.522607889586981</v>
      </c>
      <c r="R61" s="52">
        <f>R17/(R103)*1000</f>
        <v>0</v>
      </c>
      <c r="S61" s="52">
        <f>S17/(S103)*1000</f>
        <v>14.846851499209244</v>
      </c>
      <c r="T61" s="7"/>
      <c r="U61" s="7"/>
      <c r="V61" s="7"/>
      <c r="W61" s="7"/>
      <c r="X61" s="89"/>
      <c r="Y61" s="89"/>
    </row>
    <row r="62" spans="1:25" ht="14.5" x14ac:dyDescent="0.25">
      <c r="B62" s="36" t="s">
        <v>76</v>
      </c>
      <c r="C62" s="7"/>
      <c r="E62" s="44">
        <f>E18/(E104)*1000</f>
        <v>5.2980977913953788</v>
      </c>
      <c r="G62" s="44">
        <f>G18/(G103)*1000</f>
        <v>6.1902198666721873</v>
      </c>
      <c r="I62" s="44">
        <f>I18/(I103)*1000</f>
        <v>6.9305277221108881</v>
      </c>
      <c r="J62" s="44">
        <f>J18/(J103)*1000</f>
        <v>6.7394642552465447</v>
      </c>
      <c r="K62" s="52">
        <f>K18/(K103)*1000</f>
        <v>5.6208482370975981</v>
      </c>
      <c r="L62" s="52">
        <f>L18/(L103)*1000</f>
        <v>5.4852693975050872</v>
      </c>
      <c r="M62" s="52">
        <f>M18/(M103)*1000</f>
        <v>6.2078561489885473</v>
      </c>
      <c r="O62" s="44">
        <f>O18/(O103)*1000</f>
        <v>5.4298642533936645</v>
      </c>
      <c r="P62" s="44">
        <f>P18/(P103)*1000</f>
        <v>6.7481662591687037</v>
      </c>
      <c r="Q62" s="52">
        <f>Q18/(Q103)*1000</f>
        <v>6.5918220208054379</v>
      </c>
      <c r="R62" s="52">
        <f>R18/(R103)*1000</f>
        <v>0</v>
      </c>
      <c r="S62" s="52">
        <f>S18/(S103)*1000</f>
        <v>6.2292224768421391</v>
      </c>
      <c r="T62" s="7"/>
      <c r="U62" s="7"/>
      <c r="V62" s="7"/>
      <c r="W62" s="7"/>
      <c r="X62" s="89"/>
      <c r="Y62" s="89"/>
    </row>
    <row r="63" spans="1:25" x14ac:dyDescent="0.25">
      <c r="B63" s="36" t="s">
        <v>29</v>
      </c>
      <c r="C63" s="7"/>
      <c r="E63" s="44">
        <f>E19/(E104)*1000</f>
        <v>11.574960636622835</v>
      </c>
      <c r="G63" s="44">
        <f>G19/(G103)*1000</f>
        <v>10.392944391536583</v>
      </c>
      <c r="I63" s="44">
        <f>I19/(I103)*1000</f>
        <v>9.8530394121576492</v>
      </c>
      <c r="J63" s="44">
        <f>J19/(J103)*1000</f>
        <v>10.322470568162428</v>
      </c>
      <c r="K63" s="52">
        <f>K19/(K103)*1000</f>
        <v>10.049395332992676</v>
      </c>
      <c r="L63" s="52">
        <f>L19/(L103)*1000</f>
        <v>10.085817924444838</v>
      </c>
      <c r="M63" s="52">
        <f>M19/(M103)*1000</f>
        <v>10.082414641977952</v>
      </c>
      <c r="O63" s="44">
        <f>O19/(O103)*1000</f>
        <v>10.769230769230768</v>
      </c>
      <c r="P63" s="44">
        <f>P19/(P103)*1000</f>
        <v>8.6063569682151577</v>
      </c>
      <c r="Q63" s="52">
        <f>Q19/(Q103)*1000</f>
        <v>9.1667524976825625</v>
      </c>
      <c r="R63" s="52">
        <f>R19/(R103)*1000</f>
        <v>0</v>
      </c>
      <c r="S63" s="52">
        <f>S19/(S103)*1000</f>
        <v>9.5536261820998618</v>
      </c>
      <c r="T63" s="7"/>
      <c r="U63" s="7"/>
      <c r="V63" s="7"/>
      <c r="W63" s="7"/>
      <c r="X63" s="89"/>
      <c r="Y63" s="89"/>
    </row>
    <row r="64" spans="1:25" x14ac:dyDescent="0.25">
      <c r="B64" s="36" t="s">
        <v>30</v>
      </c>
      <c r="C64" s="7"/>
      <c r="E64" s="44">
        <v>0</v>
      </c>
      <c r="G64" s="44">
        <v>0</v>
      </c>
      <c r="I64" s="44">
        <f>I20/(I103)*1000</f>
        <v>0</v>
      </c>
      <c r="J64" s="44">
        <f>J20/(J103)*1000</f>
        <v>0</v>
      </c>
      <c r="K64" s="44">
        <f>K20/(K103)*1000</f>
        <v>0</v>
      </c>
      <c r="L64" s="44">
        <f>L20/(L103)*1000</f>
        <v>0</v>
      </c>
      <c r="M64" s="44">
        <f>M20/(M103)*1000</f>
        <v>0</v>
      </c>
      <c r="O64" s="44">
        <f>O20/(O103)*1000</f>
        <v>157.10407239819006</v>
      </c>
      <c r="P64" s="44">
        <v>0</v>
      </c>
      <c r="Q64" s="52">
        <v>0</v>
      </c>
      <c r="R64" s="52">
        <v>0</v>
      </c>
      <c r="S64" s="52">
        <f>S20/(S103)*1000</f>
        <v>56.03072652745054</v>
      </c>
      <c r="T64" s="7"/>
      <c r="U64" s="7"/>
      <c r="V64" s="7"/>
      <c r="W64" s="7"/>
      <c r="X64" s="89"/>
      <c r="Y64" s="89"/>
    </row>
    <row r="65" spans="2:25" x14ac:dyDescent="0.25">
      <c r="B65" s="36" t="s">
        <v>31</v>
      </c>
      <c r="C65" s="7"/>
      <c r="E65" s="44">
        <f>E21/(E104)*1000</f>
        <v>2.8937401591557088</v>
      </c>
      <c r="G65" s="44">
        <f>G21/(G103)*1000</f>
        <v>3.0847583950975115</v>
      </c>
      <c r="I65" s="44">
        <f>I21/(I103)*1000</f>
        <v>3.4235136940547761</v>
      </c>
      <c r="J65" s="44">
        <f>J21/(J103)*1000</f>
        <v>3.0711482682136153</v>
      </c>
      <c r="K65" s="52">
        <f>K21/(K103)*1000</f>
        <v>3.5769034236075625</v>
      </c>
      <c r="L65" s="52">
        <f>L21/(L103)*1000</f>
        <v>3.3619393081482789</v>
      </c>
      <c r="M65" s="52">
        <f>M21/(M103)*1000</f>
        <v>3.3608048806593169</v>
      </c>
      <c r="O65" s="44">
        <f>O21/(O103)*1000</f>
        <v>3.7104072398190047</v>
      </c>
      <c r="P65" s="44">
        <f>P21/(P103)*1000</f>
        <v>3.7163814180929098</v>
      </c>
      <c r="Q65" s="52">
        <f>Q21/(Q103)*1000</f>
        <v>4.3258832011535686</v>
      </c>
      <c r="R65" s="52">
        <f>R21/(R103)*1000</f>
        <v>0</v>
      </c>
      <c r="S65" s="52">
        <f>S21/(S103)*1000</f>
        <v>3.9053674595746051</v>
      </c>
      <c r="T65" s="7"/>
      <c r="U65" s="7"/>
      <c r="V65" s="7"/>
      <c r="W65" s="7"/>
      <c r="X65" s="89"/>
      <c r="Y65" s="89"/>
    </row>
    <row r="66" spans="2:25" x14ac:dyDescent="0.25">
      <c r="B66" s="36" t="s">
        <v>32</v>
      </c>
      <c r="C66" s="7"/>
      <c r="E66" s="44">
        <f>E22/(E104)*1000</f>
        <v>0.46810502574577639</v>
      </c>
      <c r="G66" s="44">
        <f>G22/(G$103)*1000</f>
        <v>0.70390460022359325</v>
      </c>
      <c r="I66" s="44">
        <f t="shared" ref="I66:M69" si="20">I22/(I$103)*1000</f>
        <v>0.83500334001336007</v>
      </c>
      <c r="J66" s="44">
        <f t="shared" si="20"/>
        <v>0.85309674117044876</v>
      </c>
      <c r="K66" s="52">
        <f t="shared" si="20"/>
        <v>0.42582183614375746</v>
      </c>
      <c r="L66" s="52">
        <f t="shared" si="20"/>
        <v>0.35388834822613469</v>
      </c>
      <c r="M66" s="52">
        <f t="shared" si="20"/>
        <v>0.62078561489885475</v>
      </c>
      <c r="O66" s="44">
        <f t="shared" ref="O66:S69" si="21">O22/(O$103)*1000</f>
        <v>0.45248868778280543</v>
      </c>
      <c r="P66" s="44">
        <f t="shared" si="21"/>
        <v>0.19559902200488999</v>
      </c>
      <c r="Q66" s="52">
        <f t="shared" si="21"/>
        <v>0.20599443815016993</v>
      </c>
      <c r="R66" s="52">
        <f t="shared" si="21"/>
        <v>0</v>
      </c>
      <c r="S66" s="52">
        <f t="shared" si="21"/>
        <v>0.29048187715844176</v>
      </c>
      <c r="T66" s="7"/>
      <c r="U66" s="7"/>
      <c r="V66" s="7"/>
      <c r="W66" s="7"/>
      <c r="X66" s="89"/>
      <c r="Y66" s="89"/>
    </row>
    <row r="67" spans="2:25" ht="14.5" x14ac:dyDescent="0.25">
      <c r="B67" s="36" t="s">
        <v>83</v>
      </c>
      <c r="C67" s="7"/>
      <c r="E67" s="44">
        <f>E23/(E104)*1000</f>
        <v>0</v>
      </c>
      <c r="G67" s="44">
        <f>G23/(G$103)*1000</f>
        <v>5.175769119291127</v>
      </c>
      <c r="I67" s="44">
        <f t="shared" si="20"/>
        <v>8.3500334001336007</v>
      </c>
      <c r="J67" s="44">
        <f t="shared" si="20"/>
        <v>2.1327418529261215</v>
      </c>
      <c r="K67" s="52">
        <f t="shared" si="20"/>
        <v>3.832396525293817</v>
      </c>
      <c r="L67" s="52">
        <f t="shared" si="20"/>
        <v>2.7426346987525436</v>
      </c>
      <c r="M67" s="52">
        <f t="shared" si="20"/>
        <v>4.3026865032644759</v>
      </c>
      <c r="O67" s="44">
        <f t="shared" si="21"/>
        <v>2.1719457013574663</v>
      </c>
      <c r="P67" s="44">
        <f t="shared" si="21"/>
        <v>0.78239608801955995</v>
      </c>
      <c r="Q67" s="52">
        <f t="shared" si="21"/>
        <v>3.6049026676279738</v>
      </c>
      <c r="R67" s="52">
        <f t="shared" si="21"/>
        <v>0</v>
      </c>
      <c r="S67" s="52">
        <f t="shared" si="21"/>
        <v>2.1624761966239547</v>
      </c>
      <c r="T67" s="7"/>
      <c r="U67" s="7"/>
      <c r="V67" s="7"/>
      <c r="W67" s="7"/>
      <c r="X67" s="89"/>
      <c r="Y67" s="89"/>
    </row>
    <row r="68" spans="2:25" x14ac:dyDescent="0.25">
      <c r="B68" s="36" t="s">
        <v>82</v>
      </c>
      <c r="C68" s="7"/>
      <c r="E68" s="44">
        <f>E24/(E104)*1000</f>
        <v>1.3830375760670666</v>
      </c>
      <c r="G68" s="44">
        <f>G24/(G$103)*1000</f>
        <v>1.2628876651070349</v>
      </c>
      <c r="I68" s="44">
        <f t="shared" si="20"/>
        <v>2.0040080160320639</v>
      </c>
      <c r="J68" s="44">
        <f t="shared" si="20"/>
        <v>0.76778706705340383</v>
      </c>
      <c r="K68" s="52">
        <f t="shared" si="20"/>
        <v>1.532958610117527</v>
      </c>
      <c r="L68" s="52">
        <f t="shared" si="20"/>
        <v>1.5040254799610724</v>
      </c>
      <c r="M68" s="52">
        <f t="shared" si="20"/>
        <v>1.4556352349352455</v>
      </c>
      <c r="O68" s="44">
        <f t="shared" si="21"/>
        <v>1.4479638009049773</v>
      </c>
      <c r="P68" s="44">
        <f t="shared" si="21"/>
        <v>1.3691931540342299</v>
      </c>
      <c r="Q68" s="52">
        <f t="shared" si="21"/>
        <v>1.7509527242764444</v>
      </c>
      <c r="R68" s="52">
        <f t="shared" si="21"/>
        <v>0</v>
      </c>
      <c r="S68" s="52">
        <f t="shared" si="21"/>
        <v>1.5169609140496401</v>
      </c>
      <c r="T68" s="7"/>
      <c r="U68" s="7"/>
      <c r="V68" s="7"/>
      <c r="W68" s="7"/>
      <c r="X68" s="89"/>
      <c r="Y68" s="89"/>
    </row>
    <row r="69" spans="2:25" ht="14.5" x14ac:dyDescent="0.25">
      <c r="B69" s="36" t="s">
        <v>79</v>
      </c>
      <c r="C69" s="7"/>
      <c r="E69" s="44">
        <f>E25/(E104)*1000</f>
        <v>0</v>
      </c>
      <c r="G69" s="44">
        <f>G25/(G$103)*1000</f>
        <v>0.74531075317792228</v>
      </c>
      <c r="I69" s="44">
        <f t="shared" si="20"/>
        <v>0.91850367401469601</v>
      </c>
      <c r="J69" s="44">
        <f t="shared" si="20"/>
        <v>0.76778706705340383</v>
      </c>
      <c r="K69" s="52">
        <f t="shared" si="20"/>
        <v>0.85164367228751492</v>
      </c>
      <c r="L69" s="52">
        <f t="shared" si="20"/>
        <v>0.88472087056533655</v>
      </c>
      <c r="M69" s="52">
        <f t="shared" si="20"/>
        <v>0.85625602055014449</v>
      </c>
      <c r="O69" s="44">
        <f t="shared" si="21"/>
        <v>1.1764705882352939</v>
      </c>
      <c r="P69" s="44">
        <f t="shared" si="21"/>
        <v>0.78239608801955995</v>
      </c>
      <c r="Q69" s="52">
        <f t="shared" si="21"/>
        <v>1.0299721907508497</v>
      </c>
      <c r="R69" s="52">
        <f t="shared" si="21"/>
        <v>0</v>
      </c>
      <c r="S69" s="52">
        <f t="shared" si="21"/>
        <v>1.0005486879901881</v>
      </c>
      <c r="T69" s="7"/>
      <c r="U69" s="7"/>
      <c r="V69" s="7"/>
      <c r="W69" s="7"/>
      <c r="X69" s="89"/>
      <c r="Y69" s="89"/>
    </row>
    <row r="70" spans="2:25" x14ac:dyDescent="0.25">
      <c r="B70" s="36" t="s">
        <v>80</v>
      </c>
      <c r="C70" s="7"/>
      <c r="E70" s="45">
        <f>E26/(E104)*1000</f>
        <v>0.87237754798076517</v>
      </c>
      <c r="G70" s="45">
        <f>G26/(G103)*1000-0.01</f>
        <v>1.0665599768125544</v>
      </c>
      <c r="I70" s="45">
        <f>I26/(I103)*1000</f>
        <v>1.0855043420173682</v>
      </c>
      <c r="J70" s="45">
        <f>J26/(J103)*1000+0.01</f>
        <v>1.0337160894045385</v>
      </c>
      <c r="K70" s="64">
        <f>K26/(K103)*1000+0.01</f>
        <v>0.69131493783001197</v>
      </c>
      <c r="L70" s="64">
        <f>L26/(L103)*1000+0.01</f>
        <v>1.8679138281872067</v>
      </c>
      <c r="M70" s="64">
        <f>M26/(M103)*1000</f>
        <v>1.1559456277426952</v>
      </c>
      <c r="O70" s="45">
        <f>O26/(O103)*1000-0.01</f>
        <v>1.4379638009049773</v>
      </c>
      <c r="P70" s="45">
        <f>P26/(P103)*1000-0.01</f>
        <v>3.6085819070904646</v>
      </c>
      <c r="Q70" s="64">
        <f>Q26/(Q103)*1000</f>
        <v>2.2659388196518693</v>
      </c>
      <c r="R70" s="64">
        <f>R26/(R103)*1000</f>
        <v>0</v>
      </c>
      <c r="S70" s="64">
        <f>S26/(S103)*1000</f>
        <v>2.4206823096536811</v>
      </c>
      <c r="T70" s="89"/>
      <c r="U70" s="89"/>
      <c r="V70" s="7"/>
      <c r="W70" s="7"/>
      <c r="X70" s="89"/>
      <c r="Y70" s="89"/>
    </row>
    <row r="71" spans="2:25" x14ac:dyDescent="0.25">
      <c r="B71" s="6" t="s">
        <v>25</v>
      </c>
      <c r="C71" s="7"/>
      <c r="E71" s="44">
        <f>SUM(E61:E70)</f>
        <v>41.129409762117547</v>
      </c>
      <c r="G71" s="44">
        <f>SUM(G61:G70)</f>
        <v>47.503560515092545</v>
      </c>
      <c r="I71" s="44">
        <f>SUM(I61:I70)</f>
        <v>52.855711422845694</v>
      </c>
      <c r="J71" s="44">
        <f>SUM(J61:J70)-0.01</f>
        <v>45.299436956150828</v>
      </c>
      <c r="K71" s="52">
        <f>SUM(K61:K70)</f>
        <v>45.402607732924544</v>
      </c>
      <c r="L71" s="52">
        <f>SUM(L61:L70)</f>
        <v>44.953820224719109</v>
      </c>
      <c r="M71" s="52">
        <f>SUM(M61:M70)+0.01</f>
        <v>47.211113132826711</v>
      </c>
      <c r="O71" s="44">
        <f>SUM(O61:O70)</f>
        <v>201.07597285067877</v>
      </c>
      <c r="P71" s="44">
        <f>SUM(P61:P70)+0.01</f>
        <v>38.239608801955988</v>
      </c>
      <c r="Q71" s="52">
        <f>SUM(Q61:Q70)+0.01</f>
        <v>43.474826449685857</v>
      </c>
      <c r="R71" s="52">
        <f>SUM(R61:R70)</f>
        <v>0</v>
      </c>
      <c r="S71" s="52">
        <f>SUM(S61:S70)</f>
        <v>97.956944130652289</v>
      </c>
      <c r="T71" s="89"/>
      <c r="U71" s="89"/>
      <c r="V71" s="7"/>
      <c r="W71" s="7"/>
      <c r="X71" s="89"/>
      <c r="Y71" s="89"/>
    </row>
    <row r="72" spans="2:25" ht="6" customHeight="1" x14ac:dyDescent="0.25">
      <c r="B72" s="6"/>
      <c r="C72" s="7"/>
      <c r="E72" s="44"/>
      <c r="G72" s="44"/>
      <c r="I72" s="44"/>
      <c r="J72" s="44"/>
      <c r="K72" s="52"/>
      <c r="L72" s="52"/>
      <c r="M72" s="52"/>
      <c r="O72" s="44"/>
      <c r="P72" s="44"/>
      <c r="Q72" s="52"/>
      <c r="R72" s="52"/>
      <c r="S72" s="52"/>
      <c r="T72" s="7"/>
      <c r="U72" s="7"/>
      <c r="V72" s="7"/>
      <c r="W72" s="7"/>
      <c r="X72" s="89"/>
      <c r="Y72" s="89"/>
    </row>
    <row r="73" spans="2:25" ht="13" x14ac:dyDescent="0.3">
      <c r="B73" s="1" t="s">
        <v>36</v>
      </c>
      <c r="C73" s="7"/>
      <c r="E73" s="44">
        <f>+E58-E71</f>
        <v>1.5532575854291579</v>
      </c>
      <c r="G73" s="44">
        <f>+G58-G71</f>
        <v>15.930665810939502</v>
      </c>
      <c r="I73" s="44">
        <f t="shared" ref="I73:M73" si="22">+I58-I71</f>
        <v>4.7595190380761636</v>
      </c>
      <c r="J73" s="44">
        <f t="shared" si="22"/>
        <v>10.407780242279472</v>
      </c>
      <c r="K73" s="44">
        <f>+K58-K71+0.01</f>
        <v>12.594326349855232</v>
      </c>
      <c r="L73" s="44">
        <f>+L58-L71+0.01</f>
        <v>9.0241528797664348</v>
      </c>
      <c r="M73" s="44">
        <f t="shared" si="22"/>
        <v>9.1733458204003</v>
      </c>
      <c r="O73" s="44">
        <f>+O58-O71</f>
        <v>-149.22076923076926</v>
      </c>
      <c r="P73" s="44">
        <f>+P58-P71</f>
        <v>-11.246943765281163</v>
      </c>
      <c r="Q73" s="52">
        <f>+Q58-Q71+0.01</f>
        <v>-1.3389638479761083</v>
      </c>
      <c r="R73" s="52">
        <f>+R58-R71</f>
        <v>0</v>
      </c>
      <c r="S73" s="52">
        <f>+S58-S71-0.01</f>
        <v>-57.354032856727876</v>
      </c>
      <c r="T73" s="89"/>
      <c r="U73" s="89"/>
      <c r="V73" s="7"/>
      <c r="W73" s="7"/>
      <c r="X73" s="89"/>
      <c r="Y73" s="89"/>
    </row>
    <row r="74" spans="2:25" ht="4.9000000000000004" customHeight="1" x14ac:dyDescent="0.3">
      <c r="B74" s="1"/>
      <c r="C74" s="7"/>
      <c r="E74" s="44"/>
      <c r="G74" s="44"/>
      <c r="I74" s="44"/>
      <c r="J74" s="44"/>
      <c r="K74" s="52"/>
      <c r="L74" s="52"/>
      <c r="M74" s="52"/>
      <c r="O74" s="44"/>
      <c r="P74" s="44"/>
      <c r="Q74" s="52"/>
      <c r="R74" s="52"/>
      <c r="S74" s="52"/>
      <c r="T74" s="7"/>
      <c r="U74" s="89"/>
      <c r="V74" s="7"/>
      <c r="W74" s="7"/>
      <c r="X74" s="89"/>
      <c r="Y74" s="89"/>
    </row>
    <row r="75" spans="2:25" ht="13.9" customHeight="1" x14ac:dyDescent="0.3">
      <c r="B75" s="1" t="s">
        <v>37</v>
      </c>
      <c r="C75" s="7"/>
      <c r="E75" s="44"/>
      <c r="G75" s="44"/>
      <c r="I75" s="44"/>
      <c r="J75" s="44"/>
      <c r="K75" s="52"/>
      <c r="L75" s="52"/>
      <c r="M75" s="52"/>
      <c r="O75" s="44"/>
      <c r="P75" s="44"/>
      <c r="Q75" s="52"/>
      <c r="R75" s="52"/>
      <c r="S75" s="52"/>
      <c r="T75" s="7"/>
      <c r="U75" s="89"/>
      <c r="V75" s="7"/>
      <c r="W75" s="7"/>
      <c r="X75" s="89"/>
      <c r="Y75" s="89"/>
    </row>
    <row r="76" spans="2:25" ht="13.9" customHeight="1" x14ac:dyDescent="0.25">
      <c r="B76" s="67" t="s">
        <v>72</v>
      </c>
      <c r="C76" s="7"/>
      <c r="E76" s="44">
        <f>ROUND(E32/(E104)*1000,2)</f>
        <v>0</v>
      </c>
      <c r="G76" s="44">
        <f>G32/(G103)*1000</f>
        <v>0</v>
      </c>
      <c r="I76" s="44">
        <f>I32/(I103)*1000</f>
        <v>0</v>
      </c>
      <c r="J76" s="44">
        <f>J32/(J103)*1000</f>
        <v>0</v>
      </c>
      <c r="K76" s="52">
        <f>K32/(K103)*1000</f>
        <v>0</v>
      </c>
      <c r="L76" s="52">
        <f>L32/(L103)*1000</f>
        <v>0</v>
      </c>
      <c r="M76" s="52">
        <f>M32/(M103)*1000</f>
        <v>0</v>
      </c>
      <c r="O76" s="44">
        <f>O32/(O103)*1000</f>
        <v>0</v>
      </c>
      <c r="P76" s="44">
        <f>P32/(P103)*1000</f>
        <v>0</v>
      </c>
      <c r="Q76" s="52">
        <f>Q32/(Q103)*1000</f>
        <v>6.7978164589556078</v>
      </c>
      <c r="R76" s="52">
        <f>R32/(R103)*1000</f>
        <v>0</v>
      </c>
      <c r="S76" s="52">
        <f>S32/(S103)*1000</f>
        <v>2.1302004324952395</v>
      </c>
      <c r="T76" s="7"/>
      <c r="U76" s="89"/>
      <c r="V76" s="7"/>
      <c r="W76" s="7"/>
      <c r="X76" s="89"/>
      <c r="Y76" s="89"/>
    </row>
    <row r="77" spans="2:25" ht="13.9" customHeight="1" x14ac:dyDescent="0.25">
      <c r="B77" s="67" t="s">
        <v>21</v>
      </c>
      <c r="C77" s="7"/>
      <c r="E77" s="44">
        <f>ROUND(E33/(E104)*1000,2)</f>
        <v>-7.3</v>
      </c>
      <c r="G77" s="44">
        <f>G33/(G103)*1000</f>
        <v>-7.8464659848453477</v>
      </c>
      <c r="I77" s="44">
        <f>I33/(I103)*1000</f>
        <v>-8.3500334001336007</v>
      </c>
      <c r="J77" s="44">
        <f>J33/(J103)*1000</f>
        <v>-8.3603480634703971</v>
      </c>
      <c r="K77" s="52">
        <f>K33/(K103)*1000</f>
        <v>-8.090614886731391</v>
      </c>
      <c r="L77" s="52">
        <f>L33/(L103)*1000</f>
        <v>-7.9624878350880293</v>
      </c>
      <c r="M77" s="52">
        <f>M33/(M103)*1000</f>
        <v>-8.1986513967676338</v>
      </c>
      <c r="O77" s="44">
        <f>O33/(O103)*1000</f>
        <v>-7.8733031674208149</v>
      </c>
      <c r="P77" s="44">
        <f>P33/(P103)*1000</f>
        <v>-8.3129584352078236</v>
      </c>
      <c r="Q77" s="52">
        <f>Q33/(Q103)*1000</f>
        <v>-2.8839221341023791</v>
      </c>
      <c r="R77" s="52">
        <f>R33/(R103)*1000</f>
        <v>0</v>
      </c>
      <c r="S77" s="52">
        <f>S33/(S103)*1000</f>
        <v>-6.4551528257431494</v>
      </c>
      <c r="T77" s="7"/>
      <c r="U77" s="89"/>
      <c r="V77" s="7"/>
      <c r="W77" s="7"/>
      <c r="X77" s="89"/>
      <c r="Y77" s="89"/>
    </row>
    <row r="78" spans="2:25" ht="13.9" customHeight="1" x14ac:dyDescent="0.25">
      <c r="B78" s="67" t="s">
        <v>48</v>
      </c>
      <c r="C78" s="7"/>
      <c r="E78" s="44">
        <f>+E34/E104*1000</f>
        <v>8.5110004681050261E-2</v>
      </c>
      <c r="G78" s="44">
        <f>+G34/G103*1000</f>
        <v>1.1800753591983768</v>
      </c>
      <c r="I78" s="44">
        <f>+I34/I103*1000</f>
        <v>0.50100200400801598</v>
      </c>
      <c r="J78" s="44">
        <f>+J34/J103*1000</f>
        <v>1.7061934823408975</v>
      </c>
      <c r="K78" s="52">
        <f>+K34/K103*1000</f>
        <v>6.9834781127576226</v>
      </c>
      <c r="L78" s="52">
        <f>+L34/L103*1000</f>
        <v>1.5924975670176058</v>
      </c>
      <c r="M78" s="52">
        <f>+M34/M103*1000</f>
        <v>2.6972064647329548</v>
      </c>
      <c r="O78" s="44">
        <f>+O34/O103*1000</f>
        <v>0.45248868778280543</v>
      </c>
      <c r="P78" s="44">
        <f>+P34/P103*1000</f>
        <v>0</v>
      </c>
      <c r="Q78" s="52">
        <f>+Q34/Q103*1000</f>
        <v>0</v>
      </c>
      <c r="R78" s="52">
        <f>+R34/R103*1000</f>
        <v>0</v>
      </c>
      <c r="S78" s="52">
        <f>+S34/S103*1000</f>
        <v>0.16137882064357872</v>
      </c>
      <c r="T78" s="7"/>
      <c r="U78" s="89"/>
      <c r="V78" s="7"/>
      <c r="W78" s="7"/>
      <c r="X78" s="89"/>
      <c r="Y78" s="89"/>
    </row>
    <row r="79" spans="2:25" ht="13.9" customHeight="1" x14ac:dyDescent="0.25">
      <c r="B79" s="67" t="s">
        <v>47</v>
      </c>
      <c r="C79" s="7"/>
      <c r="E79" s="44">
        <f>+E35/E104*1000</f>
        <v>0.44682752457551383</v>
      </c>
      <c r="G79" s="44">
        <f>+G35/G103*1000</f>
        <v>0.10351538238582254</v>
      </c>
      <c r="I79" s="44">
        <f>+I35/I103*1000</f>
        <v>0</v>
      </c>
      <c r="J79" s="44">
        <f>+J35/J103*1000</f>
        <v>0</v>
      </c>
      <c r="K79" s="52">
        <f>+K35/K103*1000</f>
        <v>0</v>
      </c>
      <c r="L79" s="52">
        <f>+L35/L103*1000</f>
        <v>0</v>
      </c>
      <c r="M79" s="52">
        <f>+M35/M103*1000</f>
        <v>0</v>
      </c>
      <c r="O79" s="44">
        <f>+O35/O103*1000</f>
        <v>0</v>
      </c>
      <c r="P79" s="44">
        <f>+P35/P103*1000</f>
        <v>0</v>
      </c>
      <c r="Q79" s="52">
        <f>+Q35/Q103*1000</f>
        <v>0</v>
      </c>
      <c r="R79" s="52">
        <f>+R35/R103*1000</f>
        <v>0</v>
      </c>
      <c r="S79" s="52">
        <f>+S35/S103*1000</f>
        <v>0</v>
      </c>
      <c r="T79" s="7"/>
      <c r="U79" s="89"/>
      <c r="V79" s="7"/>
      <c r="W79" s="7"/>
      <c r="X79" s="89"/>
      <c r="Y79" s="89"/>
    </row>
    <row r="80" spans="2:25" ht="13.9" customHeight="1" x14ac:dyDescent="0.25">
      <c r="B80" s="67" t="s">
        <v>73</v>
      </c>
      <c r="C80" s="7"/>
      <c r="E80" s="45">
        <f>+E36/E104*1000</f>
        <v>-0.3617175198944636</v>
      </c>
      <c r="G80" s="45">
        <f>+G36/G103*1000</f>
        <v>-0.47617075897478367</v>
      </c>
      <c r="I80" s="45">
        <f>+I36/I103*1000</f>
        <v>-0.58450233800935203</v>
      </c>
      <c r="J80" s="45">
        <f>+J36/J103*1000</f>
        <v>-0.25592902235113463</v>
      </c>
      <c r="K80" s="64">
        <f>+K36/K103*1000</f>
        <v>-0.68131493783001196</v>
      </c>
      <c r="L80" s="64">
        <f>+L36/L103*1000+0.01</f>
        <v>-4.7674927010528183</v>
      </c>
      <c r="M80" s="64">
        <f>+M36/M103*1000</f>
        <v>-1.5412608369902601</v>
      </c>
      <c r="O80" s="45">
        <f>+O36/O103*1000</f>
        <v>-1.2669683257918551</v>
      </c>
      <c r="P80" s="45">
        <f>+P36/P103*1000</f>
        <v>-4.5965770171149147</v>
      </c>
      <c r="Q80" s="64">
        <f>+Q36/Q103*1000</f>
        <v>-3.2959110104027189</v>
      </c>
      <c r="R80" s="64">
        <f>+R36/R103*1000</f>
        <v>0</v>
      </c>
      <c r="S80" s="64">
        <f>+S36/S103*1000+0.01</f>
        <v>-2.9916460639705651</v>
      </c>
      <c r="T80" s="7"/>
      <c r="U80" s="89"/>
      <c r="V80" s="7"/>
      <c r="W80" s="7"/>
      <c r="X80" s="89"/>
      <c r="Y80" s="89"/>
    </row>
    <row r="81" spans="2:25 16272:16272" ht="3.65" customHeight="1" x14ac:dyDescent="0.25">
      <c r="B81" s="6"/>
      <c r="C81" s="7"/>
      <c r="E81" s="44"/>
      <c r="G81" s="44"/>
      <c r="I81" s="44"/>
      <c r="J81" s="44"/>
      <c r="K81" s="52"/>
      <c r="L81" s="52"/>
      <c r="M81" s="52"/>
      <c r="O81" s="44"/>
      <c r="P81" s="44"/>
      <c r="Q81" s="52"/>
      <c r="R81" s="52"/>
      <c r="S81" s="52"/>
      <c r="T81" s="7"/>
      <c r="U81" s="89"/>
      <c r="V81" s="7"/>
      <c r="W81" s="7"/>
      <c r="X81" s="89"/>
      <c r="Y81" s="89"/>
    </row>
    <row r="82" spans="2:25 16272:16272" ht="14.65" customHeight="1" x14ac:dyDescent="0.3">
      <c r="B82" s="1" t="s">
        <v>33</v>
      </c>
      <c r="C82" s="7"/>
      <c r="E82" s="31">
        <f>+E73+E76+E77+E78+E80+E79-0.01</f>
        <v>-5.5865224052087417</v>
      </c>
      <c r="G82" s="31">
        <f>+G73+G76+G77+G78+G80+G79-0.01</f>
        <v>8.8816198087035687</v>
      </c>
      <c r="I82" s="31">
        <f t="shared" ref="I82:P82" si="23">+I73+I76+I77+I78+I80+I79-0.01</f>
        <v>-3.6840146960587732</v>
      </c>
      <c r="J82" s="31">
        <f t="shared" si="23"/>
        <v>3.487696638798838</v>
      </c>
      <c r="K82" s="31">
        <f t="shared" si="23"/>
        <v>10.795874638051451</v>
      </c>
      <c r="L82" s="31">
        <f t="shared" si="23"/>
        <v>-2.1233300893568066</v>
      </c>
      <c r="M82" s="31">
        <f t="shared" si="23"/>
        <v>2.1206400513753612</v>
      </c>
      <c r="O82" s="31">
        <f t="shared" si="23"/>
        <v>-157.91855203619909</v>
      </c>
      <c r="P82" s="31">
        <f t="shared" si="23"/>
        <v>-24.1664792176039</v>
      </c>
      <c r="Q82" s="31">
        <f>+Q73+Q76+Q77+Q78+Q80+Q79</f>
        <v>-0.72098053352559877</v>
      </c>
      <c r="R82" s="31">
        <f>+R73+R76+R77+R78+R80+R79</f>
        <v>0</v>
      </c>
      <c r="S82" s="31">
        <f>+S73+S76+S77+S78+S80+S79</f>
        <v>-64.509252493302782</v>
      </c>
      <c r="T82" s="89"/>
      <c r="U82" s="89"/>
      <c r="V82" s="7"/>
      <c r="W82" s="7"/>
      <c r="X82" s="89"/>
      <c r="Y82" s="89"/>
    </row>
    <row r="83" spans="2:25 16272:16272" ht="14.65" customHeight="1" x14ac:dyDescent="0.25">
      <c r="B83" s="36" t="s">
        <v>23</v>
      </c>
      <c r="C83" s="7"/>
      <c r="E83" s="45">
        <f>E38/(E103)*1000</f>
        <v>0</v>
      </c>
      <c r="G83" s="45">
        <f>G38/(G103)*1000</f>
        <v>0</v>
      </c>
      <c r="I83" s="45">
        <f>I38/(I103)*1000</f>
        <v>0</v>
      </c>
      <c r="J83" s="45">
        <f>J38/(J103)*1000</f>
        <v>0</v>
      </c>
      <c r="K83" s="64">
        <f>K38/(K103)*1000</f>
        <v>0</v>
      </c>
      <c r="L83" s="64">
        <f>L38/(L103)*1000</f>
        <v>-8.8472087056533671E-2</v>
      </c>
      <c r="M83" s="64">
        <f>M38/(M103)*1000</f>
        <v>-2.1406400513753612E-2</v>
      </c>
      <c r="O83" s="45">
        <f>O38/(O103)*1000</f>
        <v>0</v>
      </c>
      <c r="P83" s="45">
        <f>P38/(P103)*1000</f>
        <v>0</v>
      </c>
      <c r="Q83" s="64">
        <f>Q38/(Q103)*1000</f>
        <v>0</v>
      </c>
      <c r="R83" s="64">
        <f>R38/(R103)*1000</f>
        <v>0</v>
      </c>
      <c r="S83" s="64">
        <f>S38/(S103)*1000</f>
        <v>0</v>
      </c>
      <c r="T83" s="7"/>
      <c r="U83" s="89"/>
      <c r="V83" s="7"/>
      <c r="W83" s="7"/>
      <c r="X83" s="89"/>
      <c r="Y83" s="89"/>
    </row>
    <row r="84" spans="2:25 16272:16272" ht="14.65" customHeight="1" x14ac:dyDescent="0.3">
      <c r="B84" s="1" t="s">
        <v>34</v>
      </c>
      <c r="C84" s="28"/>
      <c r="D84" s="27"/>
      <c r="E84" s="44">
        <f>SUM(E82:E83)</f>
        <v>-5.5865224052087417</v>
      </c>
      <c r="G84" s="44">
        <f>SUM(G82:G83)</f>
        <v>8.8816198087035687</v>
      </c>
      <c r="I84" s="44">
        <f>SUM(I82:I83)</f>
        <v>-3.6840146960587732</v>
      </c>
      <c r="J84" s="44">
        <f>SUM(J82:J83)</f>
        <v>3.487696638798838</v>
      </c>
      <c r="K84" s="52">
        <f>SUM(K82:K83)</f>
        <v>10.795874638051451</v>
      </c>
      <c r="L84" s="52">
        <f>SUM(L82:L83)</f>
        <v>-2.2118021764133404</v>
      </c>
      <c r="M84" s="52">
        <f>SUM(M82:M83)</f>
        <v>2.0992336508616076</v>
      </c>
      <c r="O84" s="44">
        <f>SUM(O82:O83)</f>
        <v>-157.91855203619909</v>
      </c>
      <c r="P84" s="44">
        <f>SUM(P82:P83)</f>
        <v>-24.1664792176039</v>
      </c>
      <c r="Q84" s="52">
        <f>SUM(Q82:Q83)</f>
        <v>-0.72098053352559877</v>
      </c>
      <c r="R84" s="52">
        <f>SUM(R82:R83)</f>
        <v>0</v>
      </c>
      <c r="S84" s="52">
        <f>SUM(S82:S83)</f>
        <v>-64.509252493302782</v>
      </c>
      <c r="T84" s="89"/>
      <c r="U84" s="89"/>
      <c r="V84" s="7"/>
      <c r="W84" s="7"/>
      <c r="X84" s="89"/>
      <c r="Y84" s="89"/>
    </row>
    <row r="85" spans="2:25 16272:16272" ht="4.1500000000000004" customHeight="1" x14ac:dyDescent="0.3">
      <c r="B85" s="1"/>
      <c r="C85" s="28"/>
      <c r="D85" s="27"/>
      <c r="E85" s="44"/>
      <c r="G85" s="44"/>
      <c r="I85" s="44"/>
      <c r="J85" s="44"/>
      <c r="K85" s="52"/>
      <c r="L85" s="52"/>
      <c r="M85" s="52"/>
      <c r="O85" s="44"/>
      <c r="P85" s="44"/>
      <c r="Q85" s="52"/>
      <c r="R85" s="52"/>
      <c r="S85" s="52"/>
      <c r="T85" s="7"/>
      <c r="U85" s="89"/>
      <c r="V85" s="7"/>
      <c r="W85" s="7"/>
      <c r="X85" s="89"/>
      <c r="Y85" s="89"/>
    </row>
    <row r="86" spans="2:25 16272:16272" ht="14.65" customHeight="1" x14ac:dyDescent="0.3">
      <c r="B86" s="85" t="s">
        <v>60</v>
      </c>
      <c r="C86" s="28"/>
      <c r="K86" s="33"/>
      <c r="L86" s="33"/>
      <c r="M86" s="33"/>
      <c r="Q86" s="33"/>
      <c r="R86" s="33"/>
      <c r="S86" s="33"/>
      <c r="T86" s="7"/>
      <c r="U86" s="89"/>
      <c r="V86" s="7"/>
      <c r="W86" s="7"/>
      <c r="X86" s="89"/>
      <c r="Y86" s="89"/>
      <c r="XAV86" s="45"/>
    </row>
    <row r="87" spans="2:25 16272:16272" ht="14.65" customHeight="1" x14ac:dyDescent="0.3">
      <c r="B87" s="73" t="s">
        <v>58</v>
      </c>
      <c r="C87" s="28"/>
      <c r="D87" s="27"/>
      <c r="E87" s="44">
        <f>E42/(E104)*1000</f>
        <v>0</v>
      </c>
      <c r="G87" s="44">
        <f>G42/(G103)*1000</f>
        <v>-2.0496045712392865</v>
      </c>
      <c r="I87" s="44">
        <f>I42/(I103)*1000</f>
        <v>-2.3380093520374081</v>
      </c>
      <c r="J87" s="44">
        <f>J42/(J103)*1000</f>
        <v>-2.4739805493943017</v>
      </c>
      <c r="K87" s="52">
        <f>K42/(K103)*1000</f>
        <v>-2.5549310168625445</v>
      </c>
      <c r="L87" s="52">
        <f>L42/(L103)*1000</f>
        <v>-2.6541626116960102</v>
      </c>
      <c r="M87" s="52">
        <f>M42/(M103)*1000</f>
        <v>-2.504548860109173</v>
      </c>
      <c r="O87" s="44">
        <f>O42/(O103)*1000</f>
        <v>-2.7149321266968323</v>
      </c>
      <c r="P87" s="44">
        <f>P42/(P103)*1000</f>
        <v>-2.9339853300733498</v>
      </c>
      <c r="Q87" s="52">
        <f>Q42/(Q103)*1000</f>
        <v>-2.2659388196518693</v>
      </c>
      <c r="R87" s="52">
        <f>R42/(R103)*1000</f>
        <v>0</v>
      </c>
      <c r="S87" s="52">
        <f>S42/(S103)*1000</f>
        <v>-2.6466126585546914</v>
      </c>
      <c r="T87" s="89"/>
      <c r="U87" s="89"/>
      <c r="V87" s="7"/>
      <c r="W87" s="7"/>
      <c r="X87" s="89"/>
      <c r="Y87" s="89"/>
      <c r="XAV87" s="44"/>
    </row>
    <row r="88" spans="2:25 16272:16272" ht="14.65" customHeight="1" x14ac:dyDescent="0.3">
      <c r="B88" s="73" t="s">
        <v>59</v>
      </c>
      <c r="C88" s="28"/>
      <c r="D88" s="27"/>
      <c r="E88" s="44">
        <f>E43/(E104)*1000</f>
        <v>-8.5110004681050261E-2</v>
      </c>
      <c r="G88" s="44">
        <f>G43/(G103)*1000</f>
        <v>-4.1406152954329013E-2</v>
      </c>
      <c r="I88" s="45">
        <f>I43/(I103)*1000</f>
        <v>0.41750167000668004</v>
      </c>
      <c r="J88" s="45">
        <f>J43/(J103)*1000</f>
        <v>0</v>
      </c>
      <c r="K88" s="64">
        <f>K43/(K103)*1000</f>
        <v>-0.2554931016862545</v>
      </c>
      <c r="L88" s="64">
        <f>L43/(L103)*1000</f>
        <v>-1.0616650446784039</v>
      </c>
      <c r="M88" s="64">
        <f>M43/(M103)*1000</f>
        <v>-0.21406400513753612</v>
      </c>
      <c r="O88" s="45">
        <f>O43/(O103)*1000</f>
        <v>-1.9004524886877829</v>
      </c>
      <c r="P88" s="45">
        <f>P43/(P103)*1000</f>
        <v>0.58679706601466997</v>
      </c>
      <c r="Q88" s="64">
        <f>Q43/(Q103)*1000</f>
        <v>0</v>
      </c>
      <c r="R88" s="64">
        <f>R43/(R103)*1000</f>
        <v>0</v>
      </c>
      <c r="S88" s="64">
        <f>S43/(S103)*1000</f>
        <v>-0.48413646193073623</v>
      </c>
      <c r="T88" s="89"/>
      <c r="U88" s="89"/>
      <c r="V88" s="7"/>
      <c r="W88" s="7"/>
      <c r="X88" s="89"/>
      <c r="Y88" s="89"/>
      <c r="XAV88" s="44"/>
    </row>
    <row r="89" spans="2:25 16272:16272" ht="14.65" customHeight="1" x14ac:dyDescent="0.3">
      <c r="B89" s="73" t="s">
        <v>61</v>
      </c>
      <c r="C89" s="28"/>
      <c r="D89" s="27"/>
      <c r="E89" s="84">
        <f>+E87+E88</f>
        <v>-8.5110004681050261E-2</v>
      </c>
      <c r="G89" s="84">
        <f>+G87+G88</f>
        <v>-2.0910107241936156</v>
      </c>
      <c r="I89" s="44">
        <f>+I87+I88</f>
        <v>-1.9205076820307281</v>
      </c>
      <c r="J89" s="44">
        <f>+J87+J88</f>
        <v>-2.4739805493943017</v>
      </c>
      <c r="K89" s="52">
        <f>+K87+K88</f>
        <v>-2.810424118548799</v>
      </c>
      <c r="L89" s="52">
        <f>+L87+L88+0.01</f>
        <v>-3.7058276563744146</v>
      </c>
      <c r="M89" s="52">
        <f>+M87+M88+0.01</f>
        <v>-2.7086128652467094</v>
      </c>
      <c r="O89" s="44">
        <f>+O87+O88+0.01</f>
        <v>-4.6053846153846152</v>
      </c>
      <c r="P89" s="44">
        <f>+P87+P88+0.01</f>
        <v>-2.3371882640586801</v>
      </c>
      <c r="Q89" s="52">
        <f>+Q87+Q88</f>
        <v>-2.2659388196518693</v>
      </c>
      <c r="R89" s="52">
        <f>+R87+R88</f>
        <v>0</v>
      </c>
      <c r="S89" s="52">
        <f>+S87+S88</f>
        <v>-3.1307491204854276</v>
      </c>
      <c r="T89" s="89"/>
      <c r="U89" s="89"/>
      <c r="V89" s="7"/>
      <c r="W89" s="7"/>
      <c r="X89" s="89"/>
      <c r="Y89" s="89"/>
      <c r="XAV89" s="44"/>
    </row>
    <row r="90" spans="2:25 16272:16272" ht="1.9" customHeight="1" x14ac:dyDescent="0.3">
      <c r="B90" s="73"/>
      <c r="C90" s="28"/>
      <c r="D90" s="27"/>
      <c r="E90" s="44"/>
      <c r="G90" s="44"/>
      <c r="I90" s="44"/>
      <c r="J90" s="44"/>
      <c r="K90" s="52"/>
      <c r="L90" s="52"/>
      <c r="M90" s="52"/>
      <c r="O90" s="44"/>
      <c r="P90" s="44"/>
      <c r="Q90" s="52"/>
      <c r="R90" s="52"/>
      <c r="S90" s="52"/>
      <c r="T90" s="89"/>
      <c r="U90" s="89"/>
      <c r="V90" s="7"/>
      <c r="W90" s="7"/>
      <c r="X90" s="89"/>
      <c r="Y90" s="89"/>
      <c r="XAV90" s="44"/>
    </row>
    <row r="91" spans="2:25 16272:16272" ht="14.65" customHeight="1" thickBot="1" x14ac:dyDescent="0.35">
      <c r="B91" s="1" t="s">
        <v>35</v>
      </c>
      <c r="C91" s="28"/>
      <c r="D91" s="27"/>
      <c r="E91" s="46">
        <f>+E84+E89-0.01</f>
        <v>-5.6816324098897919</v>
      </c>
      <c r="G91" s="46">
        <f>+G84+G89</f>
        <v>6.7906090845099527</v>
      </c>
      <c r="I91" s="46">
        <f>+I84+I89</f>
        <v>-5.6045223780895013</v>
      </c>
      <c r="J91" s="46">
        <f>+J84+J89+0.01</f>
        <v>1.0237160894045363</v>
      </c>
      <c r="K91" s="86">
        <f>+K84+K89</f>
        <v>7.9854505195026526</v>
      </c>
      <c r="L91" s="86">
        <f>+L84+L89</f>
        <v>-5.917629832787755</v>
      </c>
      <c r="M91" s="86">
        <f>+M84+M89</f>
        <v>-0.60937921438510179</v>
      </c>
      <c r="O91" s="46">
        <f>+O84+O89-0.01</f>
        <v>-162.5339366515837</v>
      </c>
      <c r="P91" s="46">
        <f>+P84+P89-0.01</f>
        <v>-26.513667481662583</v>
      </c>
      <c r="Q91" s="86">
        <f>+Q84+Q89</f>
        <v>-2.986919353177468</v>
      </c>
      <c r="R91" s="86">
        <f>+R84+R89</f>
        <v>0</v>
      </c>
      <c r="S91" s="86">
        <f>+S84+S89</f>
        <v>-67.640001613788215</v>
      </c>
      <c r="T91" s="89"/>
      <c r="U91" s="89"/>
      <c r="V91" s="7"/>
      <c r="W91" s="7"/>
      <c r="X91" s="89"/>
      <c r="Y91" s="89"/>
    </row>
    <row r="92" spans="2:25 16272:16272" ht="13" thickTop="1" x14ac:dyDescent="0.25">
      <c r="J92" s="23"/>
      <c r="K92" s="62"/>
      <c r="L92" s="62"/>
      <c r="M92" s="33"/>
      <c r="P92" s="23"/>
      <c r="Q92" s="62"/>
      <c r="R92" s="62"/>
      <c r="S92" s="33"/>
      <c r="T92" s="83"/>
      <c r="U92" s="48"/>
      <c r="V92" s="11"/>
    </row>
    <row r="93" spans="2:25 16272:16272" x14ac:dyDescent="0.25">
      <c r="J93" s="43"/>
      <c r="K93" s="43"/>
      <c r="P93" s="23"/>
      <c r="Q93" s="23"/>
      <c r="T93" s="83"/>
      <c r="U93" s="11"/>
      <c r="V93" s="11"/>
    </row>
    <row r="94" spans="2:25 16272:16272" outlineLevel="1" x14ac:dyDescent="0.25">
      <c r="B94" s="80"/>
      <c r="U94" s="11"/>
      <c r="V94" s="11"/>
    </row>
    <row r="95" spans="2:25 16272:16272" ht="6" customHeight="1" outlineLevel="1" x14ac:dyDescent="0.25">
      <c r="B95" s="80"/>
      <c r="U95" s="11"/>
      <c r="V95" s="11"/>
    </row>
    <row r="96" spans="2:25 16272:16272" outlineLevel="1" x14ac:dyDescent="0.25">
      <c r="B96" s="80" t="s">
        <v>77</v>
      </c>
      <c r="U96" s="11"/>
      <c r="V96" s="11"/>
    </row>
    <row r="97" spans="1:22" outlineLevel="1" x14ac:dyDescent="0.25">
      <c r="B97" s="80" t="s">
        <v>45</v>
      </c>
      <c r="U97" s="11"/>
      <c r="V97" s="11"/>
    </row>
    <row r="98" spans="1:22" ht="9" customHeight="1" outlineLevel="1" x14ac:dyDescent="0.25">
      <c r="B98" s="80"/>
      <c r="U98" s="11"/>
      <c r="V98" s="11"/>
    </row>
    <row r="99" spans="1:22" outlineLevel="1" x14ac:dyDescent="0.25">
      <c r="B99" s="80" t="s">
        <v>78</v>
      </c>
      <c r="U99" s="11"/>
      <c r="V99" s="11"/>
    </row>
    <row r="100" spans="1:22" ht="14.5" outlineLevel="1" x14ac:dyDescent="0.25">
      <c r="B100" s="81"/>
      <c r="U100" s="11"/>
      <c r="V100" s="11"/>
    </row>
    <row r="101" spans="1:22" ht="14.5" outlineLevel="1" x14ac:dyDescent="0.25">
      <c r="B101" s="81"/>
      <c r="U101" s="11"/>
      <c r="V101" s="11"/>
    </row>
    <row r="102" spans="1:22" x14ac:dyDescent="0.25">
      <c r="E102" s="42"/>
      <c r="G102" s="42"/>
      <c r="M102" s="42"/>
      <c r="S102" s="42"/>
      <c r="U102" s="11"/>
      <c r="V102" s="11"/>
    </row>
    <row r="103" spans="1:22" s="33" customFormat="1" hidden="1" x14ac:dyDescent="0.25">
      <c r="A103" s="57"/>
      <c r="B103" s="57" t="s">
        <v>18</v>
      </c>
      <c r="C103" s="57"/>
      <c r="D103" s="57"/>
      <c r="E103" s="59">
        <v>46998</v>
      </c>
      <c r="G103" s="59">
        <v>48302</v>
      </c>
      <c r="I103" s="59">
        <v>11976</v>
      </c>
      <c r="J103" s="59">
        <v>11722</v>
      </c>
      <c r="K103" s="59">
        <v>11742</v>
      </c>
      <c r="L103" s="59">
        <v>11303</v>
      </c>
      <c r="M103" s="59">
        <f>+I103+J103+K103+L103-28</f>
        <v>46715</v>
      </c>
      <c r="O103" s="59">
        <v>11050</v>
      </c>
      <c r="P103" s="59">
        <v>10225</v>
      </c>
      <c r="Q103" s="59">
        <f>9709</f>
        <v>9709</v>
      </c>
      <c r="R103" s="59">
        <v>-1</v>
      </c>
      <c r="S103" s="59">
        <f>+O103+P103+Q103+R103</f>
        <v>30983</v>
      </c>
      <c r="T103" s="59"/>
    </row>
    <row r="104" spans="1:22" s="33" customFormat="1" ht="12" hidden="1" customHeight="1" x14ac:dyDescent="0.25">
      <c r="A104" s="57"/>
      <c r="B104" s="57" t="s">
        <v>16</v>
      </c>
      <c r="C104" s="57"/>
      <c r="D104" s="58"/>
      <c r="E104" s="59">
        <v>46998</v>
      </c>
      <c r="G104" s="59">
        <v>47803</v>
      </c>
      <c r="I104" s="59">
        <v>0</v>
      </c>
      <c r="J104" s="59">
        <v>0</v>
      </c>
      <c r="K104" s="59">
        <v>0</v>
      </c>
      <c r="L104" s="60">
        <v>0</v>
      </c>
      <c r="M104" s="59">
        <f>+I104+J104+K104+L104</f>
        <v>0</v>
      </c>
      <c r="O104" s="59">
        <v>0</v>
      </c>
      <c r="P104" s="59">
        <v>0</v>
      </c>
      <c r="Q104" s="59">
        <v>0</v>
      </c>
      <c r="R104" s="60">
        <v>0</v>
      </c>
      <c r="S104" s="59">
        <f>+O104+P104+Q104+R104</f>
        <v>0</v>
      </c>
      <c r="T104" s="59"/>
    </row>
    <row r="105" spans="1:22" hidden="1" x14ac:dyDescent="0.25">
      <c r="A105" s="57"/>
      <c r="B105" s="57"/>
      <c r="C105" s="57"/>
      <c r="D105" s="57"/>
      <c r="E105" s="57"/>
      <c r="G105" s="57"/>
      <c r="I105" s="57"/>
      <c r="J105" s="57"/>
      <c r="K105" s="57"/>
      <c r="L105" s="57"/>
      <c r="M105" s="57"/>
      <c r="O105" s="57"/>
      <c r="P105" s="57"/>
      <c r="Q105" s="57"/>
      <c r="R105" s="57"/>
      <c r="S105" s="57"/>
    </row>
    <row r="106" spans="1:22" hidden="1" x14ac:dyDescent="0.25">
      <c r="A106" s="57"/>
      <c r="B106" s="57"/>
      <c r="C106" s="57"/>
      <c r="D106" s="57"/>
      <c r="E106" s="61"/>
      <c r="G106" s="61"/>
      <c r="I106" s="61"/>
      <c r="J106" s="61"/>
      <c r="K106" s="61"/>
      <c r="L106" s="61"/>
      <c r="M106" s="61"/>
      <c r="O106" s="61"/>
      <c r="P106" s="61">
        <f>+P14/P103*1000</f>
        <v>26.992665036674815</v>
      </c>
      <c r="Q106" s="61">
        <f>+Q14/Q103*1000</f>
        <v>42.125862601709748</v>
      </c>
      <c r="R106" s="61">
        <f>+R14/R103*1000</f>
        <v>0</v>
      </c>
      <c r="S106" s="61">
        <f>+S14/S103*1000</f>
        <v>40.602911273924413</v>
      </c>
    </row>
    <row r="107" spans="1:22" hidden="1" x14ac:dyDescent="0.25">
      <c r="A107" s="57"/>
      <c r="B107" s="57"/>
      <c r="C107" s="57"/>
      <c r="D107" s="57"/>
      <c r="E107" s="61"/>
      <c r="G107" s="61"/>
      <c r="I107" s="61"/>
      <c r="J107" s="61"/>
      <c r="K107" s="61"/>
      <c r="L107" s="61"/>
      <c r="M107" s="61"/>
      <c r="O107" s="61"/>
      <c r="P107" s="61">
        <f>+P27/P103*1000</f>
        <v>38.239608801955988</v>
      </c>
      <c r="Q107" s="61">
        <f>+Q27/Q103*1000</f>
        <v>43.464826449685859</v>
      </c>
      <c r="R107" s="61">
        <f>+R27/R103*1000</f>
        <v>0</v>
      </c>
      <c r="S107" s="61">
        <f>+S27/S103*1000</f>
        <v>97.956944130652303</v>
      </c>
    </row>
    <row r="108" spans="1:22" hidden="1" x14ac:dyDescent="0.25">
      <c r="A108" s="57"/>
      <c r="B108" s="57"/>
      <c r="C108" s="57"/>
      <c r="D108" s="57"/>
      <c r="E108" s="61"/>
      <c r="G108" s="61"/>
      <c r="I108" s="61"/>
      <c r="J108" s="61"/>
      <c r="K108" s="61"/>
      <c r="L108" s="61"/>
      <c r="M108" s="61"/>
      <c r="O108" s="61"/>
      <c r="P108" s="61">
        <f>+P29/P103*1000</f>
        <v>-11.246943765281173</v>
      </c>
      <c r="Q108" s="61">
        <f>+Q29/Q103*1000</f>
        <v>-1.3389638479761046</v>
      </c>
      <c r="R108" s="61">
        <f>+R29/R103*1000</f>
        <v>0</v>
      </c>
      <c r="S108" s="61">
        <f>+S29/S103*1000</f>
        <v>-57.354032856727883</v>
      </c>
    </row>
    <row r="109" spans="1:22" hidden="1" x14ac:dyDescent="0.25">
      <c r="A109" s="57"/>
      <c r="B109" s="57"/>
      <c r="C109" s="57"/>
      <c r="D109" s="57"/>
      <c r="E109" s="61"/>
      <c r="G109" s="61"/>
      <c r="I109" s="61"/>
      <c r="J109" s="61"/>
      <c r="K109" s="61"/>
      <c r="L109" s="61"/>
      <c r="M109" s="61"/>
      <c r="O109" s="61"/>
      <c r="P109" s="61">
        <f>+P37/P103*1000</f>
        <v>-24.156479217603913</v>
      </c>
      <c r="Q109" s="61">
        <f>+Q37/Q103*1000</f>
        <v>-0.72098053352559477</v>
      </c>
      <c r="R109" s="61">
        <f>+R37/R103*1000</f>
        <v>0</v>
      </c>
      <c r="S109" s="61">
        <f>+S37/S103*1000</f>
        <v>-64.519252493302773</v>
      </c>
    </row>
    <row r="110" spans="1:22" hidden="1" x14ac:dyDescent="0.25">
      <c r="A110" s="57"/>
      <c r="B110" s="57"/>
      <c r="C110" s="57"/>
      <c r="D110" s="57"/>
      <c r="E110" s="61"/>
      <c r="G110" s="61"/>
      <c r="I110" s="61"/>
      <c r="J110" s="61"/>
      <c r="K110" s="61"/>
      <c r="L110" s="61"/>
      <c r="M110" s="61"/>
      <c r="O110" s="61"/>
      <c r="P110" s="61">
        <f>+P39/P103*1000</f>
        <v>-24.156479217603913</v>
      </c>
      <c r="Q110" s="61">
        <f>+Q39/Q103*1000</f>
        <v>-0.72098053352559477</v>
      </c>
      <c r="R110" s="61">
        <f>+R39/R103*1000</f>
        <v>0</v>
      </c>
      <c r="S110" s="61">
        <f>+S39/S103*1000</f>
        <v>-64.519252493302773</v>
      </c>
    </row>
    <row r="111" spans="1:22" hidden="1" x14ac:dyDescent="0.25">
      <c r="A111" s="57"/>
      <c r="B111" s="57"/>
      <c r="C111" s="57"/>
      <c r="D111" s="57"/>
      <c r="E111" s="61"/>
      <c r="G111" s="61"/>
      <c r="I111" s="61"/>
      <c r="J111" s="61"/>
      <c r="K111" s="61"/>
      <c r="L111" s="61"/>
      <c r="M111" s="61"/>
      <c r="O111" s="61"/>
      <c r="P111" s="61">
        <f>+P41/P103*1000</f>
        <v>0</v>
      </c>
      <c r="Q111" s="61">
        <f>+Q41/Q103*1000</f>
        <v>0</v>
      </c>
      <c r="R111" s="61">
        <f>+R41/R103*1000</f>
        <v>0</v>
      </c>
      <c r="S111" s="61">
        <f>+S41/S103*1000</f>
        <v>0</v>
      </c>
    </row>
    <row r="112" spans="1:22" hidden="1" x14ac:dyDescent="0.25">
      <c r="E112" s="61"/>
      <c r="G112" s="61"/>
      <c r="I112" s="61"/>
      <c r="J112" s="61"/>
      <c r="K112" s="61"/>
      <c r="L112" s="61"/>
      <c r="M112" s="61"/>
      <c r="O112" s="61"/>
      <c r="P112" s="61">
        <f>+P46/P103*1000</f>
        <v>-26.503667481662593</v>
      </c>
      <c r="Q112" s="61">
        <f>+Q46/Q103*1000</f>
        <v>-2.986919353177464</v>
      </c>
      <c r="R112" s="61">
        <f>+R46/R103*1000</f>
        <v>0</v>
      </c>
      <c r="S112" s="61">
        <f>+S46/S103*1000</f>
        <v>-67.650001613788206</v>
      </c>
    </row>
    <row r="113" spans="7:19" hidden="1" x14ac:dyDescent="0.25">
      <c r="G113" s="31"/>
      <c r="J113" s="31"/>
      <c r="M113" s="31"/>
      <c r="P113" s="31"/>
      <c r="S113" s="31"/>
    </row>
    <row r="114" spans="7:19" x14ac:dyDescent="0.25">
      <c r="G114" s="31"/>
      <c r="J114" s="31"/>
      <c r="M114" s="31"/>
      <c r="P114" s="31"/>
      <c r="S114" s="31"/>
    </row>
    <row r="115" spans="7:19" x14ac:dyDescent="0.25">
      <c r="G115" s="31"/>
      <c r="J115" s="31"/>
      <c r="M115" s="31"/>
      <c r="P115" s="31"/>
      <c r="S115" s="31"/>
    </row>
    <row r="116" spans="7:19" x14ac:dyDescent="0.25">
      <c r="G116" s="31"/>
      <c r="J116" s="31"/>
      <c r="M116" s="31"/>
      <c r="P116" s="31"/>
      <c r="S116" s="31"/>
    </row>
    <row r="117" spans="7:19" x14ac:dyDescent="0.25">
      <c r="G117" s="31"/>
      <c r="J117" s="31"/>
      <c r="M117" s="31"/>
      <c r="P117" s="31"/>
      <c r="S117" s="31"/>
    </row>
    <row r="118" spans="7:19" x14ac:dyDescent="0.25">
      <c r="G118" s="31"/>
      <c r="J118" s="31"/>
      <c r="M118" s="31"/>
      <c r="P118" s="31"/>
      <c r="S118" s="31"/>
    </row>
    <row r="119" spans="7:19" x14ac:dyDescent="0.25">
      <c r="G119" s="31"/>
      <c r="J119" s="31"/>
      <c r="M119" s="31"/>
      <c r="P119" s="31"/>
      <c r="S119" s="31"/>
    </row>
  </sheetData>
  <pageMargins left="0.5" right="0.5" top="0.5" bottom="0.3" header="0" footer="0"/>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T32"/>
  <sheetViews>
    <sheetView showGridLines="0" workbookViewId="0">
      <selection activeCell="C4" sqref="C4"/>
    </sheetView>
  </sheetViews>
  <sheetFormatPr defaultRowHeight="12.5" x14ac:dyDescent="0.25"/>
  <cols>
    <col min="1" max="1" width="4" customWidth="1"/>
    <col min="2" max="2" width="4.26953125" customWidth="1"/>
    <col min="3" max="3" width="25.453125" customWidth="1"/>
    <col min="4" max="4" width="2.81640625" customWidth="1"/>
    <col min="5" max="5" width="8.7265625" customWidth="1"/>
    <col min="6" max="6" width="3.453125" customWidth="1"/>
    <col min="7" max="7" width="8.7265625" customWidth="1"/>
    <col min="8" max="8" width="3.453125" customWidth="1"/>
    <col min="9" max="13" width="8.7265625" customWidth="1"/>
    <col min="14" max="14" width="3.26953125" customWidth="1"/>
    <col min="15" max="19" width="8.7265625" customWidth="1"/>
  </cols>
  <sheetData>
    <row r="1" spans="1:19" x14ac:dyDescent="0.25">
      <c r="A1" t="s">
        <v>22</v>
      </c>
    </row>
    <row r="2" spans="1:19" ht="18" x14ac:dyDescent="0.4">
      <c r="B2" s="22" t="s">
        <v>0</v>
      </c>
    </row>
    <row r="5" spans="1:19" s="11" customFormat="1" ht="16" thickBot="1" x14ac:dyDescent="0.4">
      <c r="B5" s="24" t="s">
        <v>63</v>
      </c>
      <c r="C5" s="25"/>
      <c r="D5" s="26"/>
      <c r="E5" s="26"/>
      <c r="F5" s="26"/>
      <c r="G5" s="26"/>
      <c r="H5" s="26"/>
      <c r="I5" s="26"/>
      <c r="J5" s="26"/>
      <c r="K5" s="26"/>
      <c r="L5" s="26"/>
      <c r="M5" s="26"/>
      <c r="O5" s="26"/>
      <c r="P5" s="26"/>
      <c r="Q5" s="26"/>
      <c r="R5" s="26"/>
      <c r="S5" s="26"/>
    </row>
    <row r="6" spans="1:19" s="11" customFormat="1" ht="6" customHeight="1" thickTop="1" x14ac:dyDescent="0.3">
      <c r="A6" s="12"/>
      <c r="B6"/>
      <c r="C6" s="13"/>
    </row>
    <row r="7" spans="1:19" s="11" customFormat="1" ht="13" x14ac:dyDescent="0.3">
      <c r="A7" s="12"/>
      <c r="B7"/>
      <c r="C7" s="13"/>
      <c r="D7" s="40"/>
      <c r="E7" s="30">
        <v>2017</v>
      </c>
      <c r="F7" s="88"/>
      <c r="G7" s="30">
        <v>2018</v>
      </c>
      <c r="I7" s="30" t="s">
        <v>54</v>
      </c>
      <c r="J7" s="30" t="s">
        <v>55</v>
      </c>
      <c r="K7" s="30" t="s">
        <v>56</v>
      </c>
      <c r="L7" s="30" t="s">
        <v>57</v>
      </c>
      <c r="M7" s="30" t="s">
        <v>1</v>
      </c>
      <c r="O7" s="30" t="s">
        <v>65</v>
      </c>
      <c r="P7" s="30" t="s">
        <v>66</v>
      </c>
      <c r="Q7" s="30" t="s">
        <v>67</v>
      </c>
      <c r="R7" s="30" t="s">
        <v>68</v>
      </c>
      <c r="S7" s="30" t="s">
        <v>1</v>
      </c>
    </row>
    <row r="8" spans="1:19" s="11" customFormat="1" ht="13" x14ac:dyDescent="0.3">
      <c r="B8" s="34" t="s">
        <v>8</v>
      </c>
      <c r="C8" s="15"/>
    </row>
    <row r="9" spans="1:19" s="11" customFormat="1" x14ac:dyDescent="0.25">
      <c r="B9" s="5" t="s">
        <v>11</v>
      </c>
      <c r="C9" s="15"/>
      <c r="E9" s="70">
        <v>52</v>
      </c>
      <c r="F9" s="70"/>
      <c r="G9" s="70">
        <v>53</v>
      </c>
      <c r="I9" s="16">
        <v>55</v>
      </c>
      <c r="J9" s="70">
        <v>52</v>
      </c>
      <c r="K9" s="70">
        <v>51</v>
      </c>
      <c r="L9" s="70">
        <v>50</v>
      </c>
      <c r="M9" s="70">
        <v>52</v>
      </c>
      <c r="O9" s="16">
        <v>47</v>
      </c>
      <c r="P9" s="70">
        <v>41</v>
      </c>
      <c r="Q9" s="70">
        <v>40</v>
      </c>
      <c r="R9" s="70">
        <v>0</v>
      </c>
      <c r="S9" s="70">
        <v>42</v>
      </c>
    </row>
    <row r="10" spans="1:19" s="11" customFormat="1" x14ac:dyDescent="0.25">
      <c r="B10" s="5" t="s">
        <v>12</v>
      </c>
      <c r="C10" s="15"/>
      <c r="E10" s="70">
        <v>27</v>
      </c>
      <c r="F10" s="70"/>
      <c r="G10" s="70">
        <v>25</v>
      </c>
      <c r="I10" s="16">
        <v>25</v>
      </c>
      <c r="J10" s="70">
        <v>23</v>
      </c>
      <c r="K10" s="70">
        <v>24</v>
      </c>
      <c r="L10" s="70">
        <v>23</v>
      </c>
      <c r="M10" s="70">
        <v>24</v>
      </c>
      <c r="O10" s="16">
        <v>26</v>
      </c>
      <c r="P10" s="70">
        <v>27</v>
      </c>
      <c r="Q10" s="70">
        <v>22</v>
      </c>
      <c r="R10" s="70">
        <v>0</v>
      </c>
      <c r="S10" s="70">
        <v>25</v>
      </c>
    </row>
    <row r="11" spans="1:19" s="11" customFormat="1" x14ac:dyDescent="0.25">
      <c r="B11" s="5" t="s">
        <v>13</v>
      </c>
      <c r="C11" s="15"/>
      <c r="E11" s="70">
        <v>4</v>
      </c>
      <c r="F11" s="70"/>
      <c r="G11" s="70">
        <v>4</v>
      </c>
      <c r="I11" s="16">
        <v>4</v>
      </c>
      <c r="J11" s="70">
        <v>4</v>
      </c>
      <c r="K11" s="70">
        <v>4</v>
      </c>
      <c r="L11" s="70">
        <v>3</v>
      </c>
      <c r="M11" s="70">
        <v>4</v>
      </c>
      <c r="O11" s="16">
        <v>4</v>
      </c>
      <c r="P11" s="70">
        <v>2</v>
      </c>
      <c r="Q11" s="70">
        <v>2</v>
      </c>
      <c r="R11" s="70">
        <v>0</v>
      </c>
      <c r="S11" s="70">
        <v>3</v>
      </c>
    </row>
    <row r="12" spans="1:19" s="11" customFormat="1" x14ac:dyDescent="0.25">
      <c r="B12" s="5" t="s">
        <v>15</v>
      </c>
      <c r="C12" s="15"/>
      <c r="D12"/>
      <c r="E12" s="74">
        <f>SUM(E9:E11)</f>
        <v>83</v>
      </c>
      <c r="F12" s="70"/>
      <c r="G12" s="17">
        <f>SUM(G9:G11)</f>
        <v>82</v>
      </c>
      <c r="H12" s="29"/>
      <c r="I12" s="17">
        <f>SUM(I9:I11)</f>
        <v>84</v>
      </c>
      <c r="J12" s="17">
        <f>SUM(J9:J11)</f>
        <v>79</v>
      </c>
      <c r="K12" s="74">
        <f>SUM(K9:K11)</f>
        <v>79</v>
      </c>
      <c r="L12" s="74">
        <f>SUM(L9:L11)</f>
        <v>76</v>
      </c>
      <c r="M12" s="74">
        <f>SUM(M9:M11)</f>
        <v>80</v>
      </c>
      <c r="O12" s="17">
        <f>SUM(O9:O11)</f>
        <v>77</v>
      </c>
      <c r="P12" s="17">
        <f>SUM(P9:P11)</f>
        <v>70</v>
      </c>
      <c r="Q12" s="74">
        <f>SUM(Q9:Q11)</f>
        <v>64</v>
      </c>
      <c r="R12" s="74">
        <f>SUM(R9:R11)</f>
        <v>0</v>
      </c>
      <c r="S12" s="74">
        <f>SUM(S9:S11)</f>
        <v>70</v>
      </c>
    </row>
    <row r="13" spans="1:19" s="11" customFormat="1" x14ac:dyDescent="0.25">
      <c r="B13" s="18"/>
      <c r="C13" s="7"/>
      <c r="E13" s="75"/>
      <c r="F13" s="75"/>
      <c r="G13" s="75"/>
      <c r="I13" s="29"/>
      <c r="J13" s="29"/>
      <c r="K13" s="75"/>
      <c r="L13" s="75"/>
      <c r="M13" s="75"/>
      <c r="O13" s="29"/>
      <c r="P13" s="29"/>
      <c r="Q13" s="75"/>
      <c r="R13" s="75"/>
      <c r="S13" s="75"/>
    </row>
    <row r="14" spans="1:19" s="11" customFormat="1" ht="13" x14ac:dyDescent="0.3">
      <c r="B14" s="34" t="s">
        <v>9</v>
      </c>
      <c r="C14" s="15"/>
      <c r="E14" s="75"/>
      <c r="F14" s="75"/>
      <c r="G14" s="75"/>
      <c r="I14" s="29"/>
      <c r="J14" s="29"/>
      <c r="K14" s="75"/>
      <c r="L14" s="75"/>
      <c r="M14" s="75"/>
      <c r="O14" s="29"/>
      <c r="P14" s="29"/>
      <c r="Q14" s="75"/>
      <c r="R14" s="75"/>
      <c r="S14" s="75"/>
    </row>
    <row r="15" spans="1:19" s="11" customFormat="1" x14ac:dyDescent="0.25">
      <c r="B15" s="5" t="s">
        <v>11</v>
      </c>
      <c r="C15" s="15"/>
      <c r="E15" s="70">
        <v>15</v>
      </c>
      <c r="F15" s="70"/>
      <c r="G15" s="70">
        <v>15</v>
      </c>
      <c r="I15" s="16">
        <v>14</v>
      </c>
      <c r="J15" s="16">
        <v>15</v>
      </c>
      <c r="K15" s="70">
        <v>16</v>
      </c>
      <c r="L15" s="70">
        <v>15</v>
      </c>
      <c r="M15" s="70">
        <v>15</v>
      </c>
      <c r="O15" s="16">
        <v>13.7</v>
      </c>
      <c r="P15" s="16">
        <v>13</v>
      </c>
      <c r="Q15" s="70">
        <v>14</v>
      </c>
      <c r="R15" s="70">
        <v>0</v>
      </c>
      <c r="S15" s="70">
        <v>14</v>
      </c>
    </row>
    <row r="16" spans="1:19" s="11" customFormat="1" x14ac:dyDescent="0.25">
      <c r="B16" s="5" t="s">
        <v>13</v>
      </c>
      <c r="C16" s="15"/>
      <c r="E16" s="70">
        <v>1</v>
      </c>
      <c r="F16" s="70"/>
      <c r="G16" s="70">
        <v>1</v>
      </c>
      <c r="I16" s="16">
        <v>1</v>
      </c>
      <c r="J16" s="16">
        <v>1</v>
      </c>
      <c r="K16" s="70">
        <v>0</v>
      </c>
      <c r="L16" s="70">
        <v>0</v>
      </c>
      <c r="M16" s="70">
        <v>0</v>
      </c>
      <c r="O16" s="16">
        <v>0</v>
      </c>
      <c r="P16" s="16">
        <v>0</v>
      </c>
      <c r="Q16" s="70">
        <v>0</v>
      </c>
      <c r="R16" s="70">
        <v>0</v>
      </c>
      <c r="S16" s="70">
        <v>0</v>
      </c>
    </row>
    <row r="17" spans="2:20" s="11" customFormat="1" x14ac:dyDescent="0.25">
      <c r="B17" s="5" t="s">
        <v>15</v>
      </c>
      <c r="C17" s="15"/>
      <c r="D17"/>
      <c r="E17" s="76">
        <f>SUM(E15:E16)</f>
        <v>16</v>
      </c>
      <c r="F17" s="79"/>
      <c r="G17" s="19">
        <f>SUM(G15:G16)</f>
        <v>16</v>
      </c>
      <c r="I17" s="19">
        <f>SUM(I15:I16)</f>
        <v>15</v>
      </c>
      <c r="J17" s="19">
        <f>SUM(J15:J16)</f>
        <v>16</v>
      </c>
      <c r="K17" s="76">
        <f>SUM(K15:K16)</f>
        <v>16</v>
      </c>
      <c r="L17" s="76">
        <f>SUM(L15:L16)</f>
        <v>15</v>
      </c>
      <c r="M17" s="76">
        <f>SUM(M15:M16)</f>
        <v>15</v>
      </c>
      <c r="O17" s="19">
        <f>SUM(O15:O16)</f>
        <v>13.7</v>
      </c>
      <c r="P17" s="19">
        <f>SUM(P15:P16)</f>
        <v>13</v>
      </c>
      <c r="Q17" s="76">
        <f>SUM(Q15:Q16)</f>
        <v>14</v>
      </c>
      <c r="R17" s="76">
        <f>SUM(R15:R16)</f>
        <v>0</v>
      </c>
      <c r="S17" s="76">
        <f>SUM(S15:S16)</f>
        <v>14</v>
      </c>
    </row>
    <row r="18" spans="2:20" s="11" customFormat="1" x14ac:dyDescent="0.25">
      <c r="B18" s="18"/>
      <c r="C18" s="7"/>
      <c r="E18" s="75"/>
      <c r="F18" s="75"/>
      <c r="G18" s="75"/>
      <c r="I18" s="29"/>
      <c r="J18" s="29"/>
      <c r="K18" s="75"/>
      <c r="L18" s="75"/>
      <c r="M18" s="75"/>
      <c r="O18" s="29"/>
      <c r="P18" s="29"/>
      <c r="Q18" s="75"/>
      <c r="R18" s="75"/>
      <c r="S18" s="75"/>
    </row>
    <row r="19" spans="2:20" s="11" customFormat="1" ht="13" x14ac:dyDescent="0.3">
      <c r="B19" s="35" t="s">
        <v>10</v>
      </c>
      <c r="C19"/>
      <c r="E19" s="75"/>
      <c r="F19" s="75"/>
      <c r="G19" s="75"/>
      <c r="I19" s="29"/>
      <c r="J19" s="29"/>
      <c r="K19" s="75"/>
      <c r="L19" s="75"/>
      <c r="M19" s="75"/>
      <c r="O19" s="29"/>
      <c r="P19" s="29"/>
      <c r="Q19" s="75"/>
      <c r="R19" s="75"/>
      <c r="S19" s="75"/>
    </row>
    <row r="20" spans="2:20" s="11" customFormat="1" x14ac:dyDescent="0.25">
      <c r="B20" s="5" t="s">
        <v>11</v>
      </c>
      <c r="C20" s="20"/>
      <c r="E20" s="70">
        <v>140</v>
      </c>
      <c r="F20" s="70"/>
      <c r="G20" s="70">
        <v>165</v>
      </c>
      <c r="I20" s="16">
        <v>165</v>
      </c>
      <c r="J20" s="16">
        <v>164</v>
      </c>
      <c r="K20" s="70">
        <v>162</v>
      </c>
      <c r="L20" s="70">
        <v>157</v>
      </c>
      <c r="M20" s="70">
        <v>162</v>
      </c>
      <c r="O20" s="16">
        <v>152</v>
      </c>
      <c r="P20" s="16">
        <v>148</v>
      </c>
      <c r="Q20" s="70">
        <v>142</v>
      </c>
      <c r="R20" s="70">
        <v>0</v>
      </c>
      <c r="S20" s="70">
        <v>148</v>
      </c>
    </row>
    <row r="21" spans="2:20" s="11" customFormat="1" x14ac:dyDescent="0.25">
      <c r="B21" s="5" t="s">
        <v>12</v>
      </c>
      <c r="C21"/>
      <c r="E21" s="70">
        <v>1</v>
      </c>
      <c r="F21" s="70"/>
      <c r="G21" s="70">
        <v>1</v>
      </c>
      <c r="I21" s="16">
        <v>2</v>
      </c>
      <c r="J21" s="16">
        <v>3</v>
      </c>
      <c r="K21" s="70">
        <v>2</v>
      </c>
      <c r="L21" s="70">
        <v>2</v>
      </c>
      <c r="M21" s="70">
        <v>2</v>
      </c>
      <c r="O21" s="16">
        <v>2</v>
      </c>
      <c r="P21" s="16">
        <v>2</v>
      </c>
      <c r="Q21" s="70">
        <v>2</v>
      </c>
      <c r="R21" s="70">
        <v>0</v>
      </c>
      <c r="S21" s="70">
        <v>2</v>
      </c>
    </row>
    <row r="22" spans="2:20" s="11" customFormat="1" x14ac:dyDescent="0.25">
      <c r="B22" s="5" t="s">
        <v>13</v>
      </c>
      <c r="C22"/>
      <c r="E22" s="70">
        <v>8</v>
      </c>
      <c r="F22" s="70"/>
      <c r="G22" s="70">
        <v>7</v>
      </c>
      <c r="I22" s="16">
        <v>7</v>
      </c>
      <c r="J22" s="16">
        <v>6</v>
      </c>
      <c r="K22" s="70">
        <v>4</v>
      </c>
      <c r="L22" s="70">
        <v>5</v>
      </c>
      <c r="M22" s="70">
        <v>5</v>
      </c>
      <c r="O22" s="16">
        <v>6</v>
      </c>
      <c r="P22" s="16">
        <v>3</v>
      </c>
      <c r="Q22" s="70">
        <v>4</v>
      </c>
      <c r="R22" s="70">
        <v>0</v>
      </c>
      <c r="S22" s="70">
        <v>4</v>
      </c>
    </row>
    <row r="23" spans="2:20" s="11" customFormat="1" x14ac:dyDescent="0.25">
      <c r="B23" s="5" t="s">
        <v>14</v>
      </c>
      <c r="C23"/>
      <c r="E23" s="70">
        <v>33</v>
      </c>
      <c r="F23" s="70"/>
      <c r="G23" s="70">
        <v>29</v>
      </c>
      <c r="I23" s="16">
        <v>28</v>
      </c>
      <c r="J23" s="16">
        <v>30</v>
      </c>
      <c r="K23" s="70">
        <v>28</v>
      </c>
      <c r="L23" s="70">
        <v>26</v>
      </c>
      <c r="M23" s="70">
        <v>28</v>
      </c>
      <c r="O23" s="16">
        <v>23</v>
      </c>
      <c r="P23" s="16">
        <v>21</v>
      </c>
      <c r="Q23" s="70">
        <v>20</v>
      </c>
      <c r="R23" s="70">
        <v>0</v>
      </c>
      <c r="S23" s="70">
        <v>21</v>
      </c>
    </row>
    <row r="24" spans="2:20" s="11" customFormat="1" x14ac:dyDescent="0.25">
      <c r="B24" s="5" t="s">
        <v>15</v>
      </c>
      <c r="C24"/>
      <c r="D24"/>
      <c r="E24" s="76">
        <f>SUM(E20:E23)</f>
        <v>182</v>
      </c>
      <c r="F24" s="79"/>
      <c r="G24" s="19">
        <f>SUM(G20:G23)</f>
        <v>202</v>
      </c>
      <c r="I24" s="19">
        <f>SUM(I20:I23)</f>
        <v>202</v>
      </c>
      <c r="J24" s="19">
        <f>SUM(J20:J23)</f>
        <v>203</v>
      </c>
      <c r="K24" s="76">
        <f>SUM(K20:K23)</f>
        <v>196</v>
      </c>
      <c r="L24" s="76">
        <f>SUM(L20:L23)</f>
        <v>190</v>
      </c>
      <c r="M24" s="76">
        <f>SUM(M20:M23)</f>
        <v>197</v>
      </c>
      <c r="O24" s="19">
        <f>SUM(O20:O23)</f>
        <v>183</v>
      </c>
      <c r="P24" s="19">
        <f>SUM(P20:P23)</f>
        <v>174</v>
      </c>
      <c r="Q24" s="76">
        <f>SUM(Q20:Q23)</f>
        <v>168</v>
      </c>
      <c r="R24" s="76">
        <f>SUM(R20:R23)</f>
        <v>0</v>
      </c>
      <c r="S24" s="76">
        <f>SUM(S20:S23)</f>
        <v>175</v>
      </c>
      <c r="T24" s="79"/>
    </row>
    <row r="25" spans="2:20" s="11" customFormat="1" x14ac:dyDescent="0.25">
      <c r="B25"/>
      <c r="C25"/>
      <c r="E25" s="75"/>
      <c r="F25" s="75"/>
      <c r="G25" s="75"/>
      <c r="I25" s="29"/>
      <c r="J25" s="29"/>
      <c r="K25" s="75"/>
      <c r="L25" s="75"/>
      <c r="M25" s="75"/>
      <c r="O25" s="29"/>
      <c r="P25" s="29"/>
      <c r="Q25" s="75"/>
      <c r="R25" s="75"/>
      <c r="S25" s="75"/>
    </row>
    <row r="26" spans="2:20" s="11" customFormat="1" ht="15.5" thickBot="1" x14ac:dyDescent="0.35">
      <c r="B26" s="21" t="s">
        <v>38</v>
      </c>
      <c r="C26"/>
      <c r="D26"/>
      <c r="E26" s="77">
        <f>E12+E17+(E24/6)</f>
        <v>129.33333333333334</v>
      </c>
      <c r="F26" s="79"/>
      <c r="G26" s="56">
        <f>G12+G17+(G24/6)</f>
        <v>131.66666666666666</v>
      </c>
      <c r="I26" s="56">
        <f>I12+I17+(I24/6)</f>
        <v>132.66666666666666</v>
      </c>
      <c r="J26" s="56">
        <f>J12+J17+(J24/6)</f>
        <v>128.83333333333334</v>
      </c>
      <c r="K26" s="77">
        <f>K12+K17+(K24/6)</f>
        <v>127.66666666666666</v>
      </c>
      <c r="L26" s="77">
        <f>L12+L17+(L24/6)</f>
        <v>122.66666666666667</v>
      </c>
      <c r="M26" s="77">
        <f>M12+M17+(M24/6)</f>
        <v>127.83333333333334</v>
      </c>
      <c r="O26" s="56">
        <f>O12+O17+(O24/6)</f>
        <v>121.2</v>
      </c>
      <c r="P26" s="56">
        <f>P12+P17+(P24/6)</f>
        <v>112</v>
      </c>
      <c r="Q26" s="77">
        <f>Q12+Q17+(Q24/6)</f>
        <v>106</v>
      </c>
      <c r="R26" s="77">
        <f>R12+R17+(R24/6)</f>
        <v>0</v>
      </c>
      <c r="S26" s="77">
        <f>S12+S17+(S24/6)</f>
        <v>113.16666666666667</v>
      </c>
      <c r="T26" s="29"/>
    </row>
    <row r="27" spans="2:20" s="11" customFormat="1" ht="13.5" thickTop="1" x14ac:dyDescent="0.3">
      <c r="B27" s="21"/>
      <c r="C27"/>
      <c r="D27"/>
      <c r="E27" s="79"/>
      <c r="F27" s="79"/>
      <c r="G27" s="79"/>
      <c r="I27" s="14"/>
      <c r="J27" s="14"/>
      <c r="K27" s="14"/>
      <c r="L27" s="79"/>
      <c r="M27" s="79"/>
      <c r="O27" s="14"/>
      <c r="P27" s="14"/>
      <c r="Q27" s="79"/>
      <c r="R27" s="79"/>
      <c r="S27" s="70"/>
    </row>
    <row r="28" spans="2:20" x14ac:dyDescent="0.25">
      <c r="Q28" s="33"/>
      <c r="R28" s="33"/>
      <c r="S28" s="33"/>
    </row>
    <row r="29" spans="2:20" x14ac:dyDescent="0.25">
      <c r="B29" s="78" t="s">
        <v>41</v>
      </c>
    </row>
    <row r="30" spans="2:20" ht="4.1500000000000004" customHeight="1" x14ac:dyDescent="0.25">
      <c r="B30" s="78"/>
    </row>
    <row r="31" spans="2:20" x14ac:dyDescent="0.25">
      <c r="B31" s="78" t="s">
        <v>39</v>
      </c>
    </row>
    <row r="32" spans="2:20" x14ac:dyDescent="0.25">
      <c r="B32" s="78" t="s">
        <v>40</v>
      </c>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M35"/>
  <sheetViews>
    <sheetView showGridLines="0" workbookViewId="0">
      <selection activeCell="B1" sqref="B1"/>
    </sheetView>
  </sheetViews>
  <sheetFormatPr defaultRowHeight="12.5" x14ac:dyDescent="0.25"/>
  <cols>
    <col min="1" max="1" width="4" customWidth="1"/>
    <col min="2" max="2" width="13.81640625" customWidth="1"/>
    <col min="3" max="3" width="37.81640625" customWidth="1"/>
    <col min="4" max="4" width="12.453125" bestFit="1" customWidth="1"/>
    <col min="5" max="5" width="2.1796875" customWidth="1"/>
    <col min="6" max="6" width="12" bestFit="1" customWidth="1"/>
    <col min="7" max="7" width="2.453125" customWidth="1"/>
    <col min="8" max="8" width="11.453125" customWidth="1"/>
    <col min="9" max="9" width="2.453125" customWidth="1"/>
    <col min="10" max="10" width="11.453125" customWidth="1"/>
    <col min="11" max="11" width="1.54296875" customWidth="1"/>
    <col min="12" max="12" width="9.1796875" customWidth="1"/>
  </cols>
  <sheetData>
    <row r="2" spans="2:12" ht="18" x14ac:dyDescent="0.4">
      <c r="B2" s="22" t="s">
        <v>0</v>
      </c>
    </row>
    <row r="3" spans="2:12" ht="14.25" customHeight="1" x14ac:dyDescent="0.4">
      <c r="B3" s="22"/>
    </row>
    <row r="5" spans="2:12" ht="16" thickBot="1" x14ac:dyDescent="0.4">
      <c r="B5" s="24" t="s">
        <v>2</v>
      </c>
      <c r="C5" s="25"/>
      <c r="D5" s="25"/>
      <c r="E5" s="25"/>
      <c r="F5" s="25"/>
      <c r="G5" s="25"/>
      <c r="H5" s="25"/>
      <c r="I5" s="26"/>
      <c r="J5" s="26"/>
      <c r="K5" s="26"/>
      <c r="L5" s="26"/>
    </row>
    <row r="6" spans="2:12" ht="5.25" customHeight="1" thickTop="1" x14ac:dyDescent="0.25"/>
    <row r="7" spans="2:12" s="27" customFormat="1" ht="13" x14ac:dyDescent="0.3">
      <c r="D7" s="37" t="s">
        <v>3</v>
      </c>
      <c r="E7" s="37"/>
      <c r="F7" s="37" t="s">
        <v>5</v>
      </c>
      <c r="G7" s="37"/>
      <c r="H7" s="37" t="s">
        <v>6</v>
      </c>
      <c r="I7" s="37"/>
      <c r="J7" s="37" t="s">
        <v>7</v>
      </c>
      <c r="K7" s="37"/>
      <c r="L7" s="37"/>
    </row>
    <row r="8" spans="2:12" s="27" customFormat="1" ht="13" x14ac:dyDescent="0.3">
      <c r="D8" s="30" t="s">
        <v>4</v>
      </c>
      <c r="E8" s="37"/>
      <c r="F8" s="30" t="s">
        <v>4</v>
      </c>
      <c r="G8" s="37"/>
      <c r="H8" s="30" t="s">
        <v>4</v>
      </c>
      <c r="I8" s="37"/>
      <c r="J8" s="30" t="s">
        <v>4</v>
      </c>
      <c r="K8" s="37"/>
      <c r="L8" s="30" t="s">
        <v>1</v>
      </c>
    </row>
    <row r="9" spans="2:12" s="27" customFormat="1" x14ac:dyDescent="0.25"/>
    <row r="10" spans="2:12" s="27" customFormat="1" ht="13" x14ac:dyDescent="0.3">
      <c r="B10" s="87" t="s">
        <v>64</v>
      </c>
      <c r="C10" s="54"/>
    </row>
    <row r="11" spans="2:12" s="27" customFormat="1" ht="13" x14ac:dyDescent="0.3">
      <c r="B11" s="10" t="s">
        <v>49</v>
      </c>
    </row>
    <row r="12" spans="2:12" s="27" customFormat="1" x14ac:dyDescent="0.25">
      <c r="B12" t="s">
        <v>19</v>
      </c>
      <c r="D12" s="38">
        <v>212</v>
      </c>
      <c r="E12" s="38"/>
      <c r="F12" s="38">
        <v>121</v>
      </c>
      <c r="G12" s="38"/>
      <c r="H12" s="38">
        <v>24</v>
      </c>
      <c r="I12" s="38"/>
      <c r="J12" s="16">
        <v>0</v>
      </c>
      <c r="K12" s="38"/>
      <c r="L12" s="38">
        <f>SUM(D12:K12)</f>
        <v>357</v>
      </c>
    </row>
    <row r="13" spans="2:12" s="27" customFormat="1" x14ac:dyDescent="0.25">
      <c r="B13" s="11" t="s">
        <v>20</v>
      </c>
      <c r="D13" s="38">
        <v>68</v>
      </c>
      <c r="E13" s="38"/>
      <c r="F13" s="38">
        <v>47</v>
      </c>
      <c r="G13" s="38"/>
      <c r="H13" s="38">
        <v>11</v>
      </c>
      <c r="I13" s="38"/>
      <c r="J13" s="16">
        <v>0</v>
      </c>
      <c r="K13" s="38"/>
      <c r="L13" s="38">
        <f>SUM(D13:K13)</f>
        <v>126</v>
      </c>
    </row>
    <row r="14" spans="2:12" s="27" customFormat="1" x14ac:dyDescent="0.25">
      <c r="B14" s="49" t="s">
        <v>17</v>
      </c>
      <c r="D14" s="50">
        <f>+D13+D12</f>
        <v>280</v>
      </c>
      <c r="E14" s="38"/>
      <c r="F14" s="50">
        <f>+F13+F12</f>
        <v>168</v>
      </c>
      <c r="G14" s="38"/>
      <c r="H14" s="50">
        <f>+H13+H12</f>
        <v>35</v>
      </c>
      <c r="I14" s="38"/>
      <c r="J14" s="50">
        <f>+J13+J12</f>
        <v>0</v>
      </c>
      <c r="K14" s="38"/>
      <c r="L14" s="50">
        <f>+L13+L12</f>
        <v>483</v>
      </c>
    </row>
    <row r="15" spans="2:12" s="27" customFormat="1" x14ac:dyDescent="0.25">
      <c r="D15" s="39"/>
      <c r="E15" s="39"/>
      <c r="F15" s="39"/>
      <c r="G15" s="39"/>
      <c r="H15" s="39"/>
      <c r="I15" s="39"/>
      <c r="J15" s="39"/>
      <c r="K15" s="39"/>
      <c r="L15"/>
    </row>
    <row r="16" spans="2:12" s="27" customFormat="1" ht="13" x14ac:dyDescent="0.3">
      <c r="B16" s="10" t="s">
        <v>50</v>
      </c>
      <c r="D16" s="39"/>
      <c r="E16" s="39"/>
      <c r="F16" s="39"/>
      <c r="G16" s="39"/>
      <c r="H16" s="39"/>
      <c r="I16" s="39"/>
      <c r="J16" s="39"/>
      <c r="K16" s="39"/>
      <c r="L16" s="39"/>
    </row>
    <row r="17" spans="2:13" s="27" customFormat="1" x14ac:dyDescent="0.25">
      <c r="B17" t="s">
        <v>19</v>
      </c>
      <c r="D17" s="38">
        <v>43</v>
      </c>
      <c r="E17" s="38"/>
      <c r="F17" s="38">
        <v>0</v>
      </c>
      <c r="G17" s="38"/>
      <c r="H17" s="38">
        <v>2</v>
      </c>
      <c r="I17" s="38"/>
      <c r="J17" s="16">
        <v>0</v>
      </c>
      <c r="K17" s="38"/>
      <c r="L17" s="38">
        <f>SUM(D17:K17)</f>
        <v>45</v>
      </c>
    </row>
    <row r="18" spans="2:13" s="27" customFormat="1" x14ac:dyDescent="0.25">
      <c r="B18" s="11" t="s">
        <v>20</v>
      </c>
      <c r="D18" s="38">
        <v>6</v>
      </c>
      <c r="E18" s="38"/>
      <c r="F18" s="38">
        <v>0</v>
      </c>
      <c r="G18" s="38"/>
      <c r="H18" s="38">
        <v>1</v>
      </c>
      <c r="I18" s="38"/>
      <c r="J18" s="16">
        <v>0</v>
      </c>
      <c r="K18" s="38"/>
      <c r="L18" s="38">
        <f>SUM(D18:K18)</f>
        <v>7</v>
      </c>
    </row>
    <row r="19" spans="2:13" s="27" customFormat="1" x14ac:dyDescent="0.25">
      <c r="B19" s="49" t="s">
        <v>17</v>
      </c>
      <c r="D19" s="50">
        <f>+D18+D17</f>
        <v>49</v>
      </c>
      <c r="E19" s="38"/>
      <c r="F19" s="50">
        <f>+F18+F17</f>
        <v>0</v>
      </c>
      <c r="G19" s="38"/>
      <c r="H19" s="50">
        <f>+H18+H17</f>
        <v>3</v>
      </c>
      <c r="I19" s="38"/>
      <c r="J19" s="50">
        <f>+J18+J17</f>
        <v>0</v>
      </c>
      <c r="K19" s="38"/>
      <c r="L19" s="50">
        <f>+L18+L17</f>
        <v>52</v>
      </c>
    </row>
    <row r="20" spans="2:13" s="27" customFormat="1" x14ac:dyDescent="0.25">
      <c r="D20" s="38"/>
      <c r="E20" s="38"/>
      <c r="F20" s="38"/>
      <c r="G20" s="38"/>
      <c r="H20" s="38"/>
      <c r="I20" s="38"/>
      <c r="J20" s="16"/>
      <c r="K20" s="38"/>
      <c r="L20"/>
    </row>
    <row r="21" spans="2:13" s="27" customFormat="1" ht="13" x14ac:dyDescent="0.3">
      <c r="B21" s="10" t="s">
        <v>51</v>
      </c>
      <c r="D21" s="38"/>
      <c r="E21" s="38"/>
      <c r="F21" s="38"/>
      <c r="G21" s="38"/>
      <c r="H21" s="38"/>
      <c r="I21" s="38"/>
      <c r="J21" s="16"/>
      <c r="K21" s="38"/>
      <c r="L21" s="38"/>
    </row>
    <row r="22" spans="2:13" s="27" customFormat="1" x14ac:dyDescent="0.25">
      <c r="B22" t="s">
        <v>19</v>
      </c>
      <c r="D22" s="38">
        <v>444</v>
      </c>
      <c r="E22" s="38"/>
      <c r="F22" s="38">
        <v>10</v>
      </c>
      <c r="G22" s="38"/>
      <c r="H22" s="38">
        <v>19</v>
      </c>
      <c r="I22" s="38"/>
      <c r="J22" s="16">
        <v>70</v>
      </c>
      <c r="K22" s="38"/>
      <c r="L22" s="38">
        <f>SUM(D22:K22)</f>
        <v>543</v>
      </c>
    </row>
    <row r="23" spans="2:13" s="27" customFormat="1" x14ac:dyDescent="0.25">
      <c r="B23" s="11" t="s">
        <v>20</v>
      </c>
      <c r="D23" s="38">
        <v>81</v>
      </c>
      <c r="E23" s="38"/>
      <c r="F23" s="38">
        <v>3</v>
      </c>
      <c r="G23" s="38"/>
      <c r="H23" s="38">
        <v>7</v>
      </c>
      <c r="I23" s="38"/>
      <c r="J23" s="16">
        <v>20</v>
      </c>
      <c r="K23" s="38"/>
      <c r="L23" s="38">
        <f>SUM(D23:K23)</f>
        <v>111</v>
      </c>
    </row>
    <row r="24" spans="2:13" s="27" customFormat="1" x14ac:dyDescent="0.25">
      <c r="B24" s="49" t="s">
        <v>17</v>
      </c>
      <c r="D24" s="50">
        <f>+D23+D22</f>
        <v>525</v>
      </c>
      <c r="E24" s="38"/>
      <c r="F24" s="50">
        <f>+F23+F22</f>
        <v>13</v>
      </c>
      <c r="G24" s="38"/>
      <c r="H24" s="50">
        <f>+H23+H22</f>
        <v>26</v>
      </c>
      <c r="I24" s="38"/>
      <c r="J24" s="50">
        <f>+J23+J22</f>
        <v>90</v>
      </c>
      <c r="K24" s="38"/>
      <c r="L24" s="50">
        <f>+L23+L22</f>
        <v>654</v>
      </c>
    </row>
    <row r="25" spans="2:13" s="27" customFormat="1" x14ac:dyDescent="0.25">
      <c r="B25" s="32"/>
      <c r="C25" s="32"/>
      <c r="D25" s="38"/>
      <c r="E25" s="38"/>
      <c r="F25" s="38"/>
      <c r="G25" s="38"/>
      <c r="H25" s="38"/>
      <c r="I25" s="38"/>
      <c r="J25" s="16"/>
      <c r="K25" s="38"/>
      <c r="L25"/>
    </row>
    <row r="26" spans="2:13" s="27" customFormat="1" ht="15" x14ac:dyDescent="0.3">
      <c r="B26" s="10" t="s">
        <v>52</v>
      </c>
      <c r="C26" s="32"/>
      <c r="D26" s="38"/>
      <c r="E26" s="38"/>
      <c r="F26" s="38"/>
      <c r="G26" s="38"/>
      <c r="H26" s="38"/>
      <c r="I26" s="38"/>
      <c r="J26" s="16"/>
      <c r="K26" s="38"/>
      <c r="L26" s="38"/>
    </row>
    <row r="27" spans="2:13" s="27" customFormat="1" x14ac:dyDescent="0.25">
      <c r="B27" t="s">
        <v>19</v>
      </c>
      <c r="D27" s="53">
        <f>ROUND(D12+D17+D22/6,0)</f>
        <v>329</v>
      </c>
      <c r="E27" s="53"/>
      <c r="F27" s="53">
        <f>ROUND(F12+F17+F22/6,0)</f>
        <v>123</v>
      </c>
      <c r="G27" s="53"/>
      <c r="H27" s="53">
        <f>ROUND(H12+H17+H22/6,0)</f>
        <v>29</v>
      </c>
      <c r="I27" s="53"/>
      <c r="J27" s="53">
        <f>ROUND(J12+J17+J22/6,0)</f>
        <v>12</v>
      </c>
      <c r="K27" s="53"/>
      <c r="L27" s="53">
        <f>SUM(D27:K27)</f>
        <v>493</v>
      </c>
      <c r="M27" s="54"/>
    </row>
    <row r="28" spans="2:13" s="27" customFormat="1" x14ac:dyDescent="0.25">
      <c r="B28" s="11" t="s">
        <v>20</v>
      </c>
      <c r="D28" s="53">
        <f>ROUND(D13+D18+D23/6,0)</f>
        <v>88</v>
      </c>
      <c r="E28" s="53"/>
      <c r="F28" s="53">
        <f>ROUND(F13+F18+F23/6,0)-1</f>
        <v>47</v>
      </c>
      <c r="G28" s="53"/>
      <c r="H28" s="53">
        <f>ROUND(H13+H18+H23/6,0)</f>
        <v>13</v>
      </c>
      <c r="I28" s="53"/>
      <c r="J28" s="53">
        <f>ROUND(J13+J18+J23/6,0)</f>
        <v>3</v>
      </c>
      <c r="K28" s="53"/>
      <c r="L28" s="53">
        <f>SUM(D28:K28)</f>
        <v>151</v>
      </c>
      <c r="M28" s="54"/>
    </row>
    <row r="29" spans="2:13" s="27" customFormat="1" ht="13" thickBot="1" x14ac:dyDescent="0.3">
      <c r="B29" s="49" t="s">
        <v>17</v>
      </c>
      <c r="D29" s="55">
        <f>+D28+D27</f>
        <v>417</v>
      </c>
      <c r="E29" s="38"/>
      <c r="F29" s="55">
        <f>+F28+F27</f>
        <v>170</v>
      </c>
      <c r="G29" s="38"/>
      <c r="H29" s="55">
        <f>+H28+H27</f>
        <v>42</v>
      </c>
      <c r="I29" s="38"/>
      <c r="J29" s="55">
        <f>+J28+J27</f>
        <v>15</v>
      </c>
      <c r="K29" s="38"/>
      <c r="L29" s="55">
        <f>+L28+L27</f>
        <v>644</v>
      </c>
    </row>
    <row r="30" spans="2:13" ht="13" thickTop="1" x14ac:dyDescent="0.25"/>
    <row r="32" spans="2:13" x14ac:dyDescent="0.25">
      <c r="B32" s="78" t="s">
        <v>53</v>
      </c>
    </row>
    <row r="33" spans="2:2" ht="6" customHeight="1" x14ac:dyDescent="0.25">
      <c r="B33" s="78"/>
    </row>
    <row r="34" spans="2:2" x14ac:dyDescent="0.25">
      <c r="B34" s="78" t="s">
        <v>39</v>
      </c>
    </row>
    <row r="35" spans="2:2" x14ac:dyDescent="0.25">
      <c r="B35" s="78" t="s">
        <v>40</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Dale, Larry</cp:lastModifiedBy>
  <cp:lastPrinted>2020-03-04T21:26:04Z</cp:lastPrinted>
  <dcterms:created xsi:type="dcterms:W3CDTF">2014-09-30T22:55:06Z</dcterms:created>
  <dcterms:modified xsi:type="dcterms:W3CDTF">2020-11-04T18:26:13Z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ies>
</file>