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5\Q2 2025\Website File\"/>
    </mc:Choice>
  </mc:AlternateContent>
  <xr:revisionPtr revIDLastSave="0" documentId="8_{EFD6B753-5217-45C2-BF21-8A5B56D44E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Statistics'!$A$1:$E$33</definedName>
    <definedName name="_xlnm.Print_Area" localSheetId="0">'Statements of Income'!$B$1:$D$127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18" i="5" l="1"/>
  <c r="AH25" i="2" l="1"/>
  <c r="AG25" i="2"/>
  <c r="AF25" i="2"/>
  <c r="AE25" i="2"/>
  <c r="AD25" i="2"/>
  <c r="AH18" i="2"/>
  <c r="AG18" i="2"/>
  <c r="AF18" i="2"/>
  <c r="AE18" i="2"/>
  <c r="AD18" i="2"/>
  <c r="AH13" i="2"/>
  <c r="AG13" i="2"/>
  <c r="AG27" i="2" s="1"/>
  <c r="AF13" i="2"/>
  <c r="AF27" i="2" s="1"/>
  <c r="AE13" i="2"/>
  <c r="AD13" i="2"/>
  <c r="AH88" i="5"/>
  <c r="AG101" i="5"/>
  <c r="AF101" i="5"/>
  <c r="AE101" i="5"/>
  <c r="AD101" i="5"/>
  <c r="AG100" i="5"/>
  <c r="AF100" i="5"/>
  <c r="AE100" i="5"/>
  <c r="AD100" i="5"/>
  <c r="AG96" i="5"/>
  <c r="AF96" i="5"/>
  <c r="AE96" i="5"/>
  <c r="AD96" i="5"/>
  <c r="AG93" i="5"/>
  <c r="AF93" i="5"/>
  <c r="AE93" i="5"/>
  <c r="AD93" i="5"/>
  <c r="AG92" i="5"/>
  <c r="AF92" i="5"/>
  <c r="AE92" i="5"/>
  <c r="AD92" i="5"/>
  <c r="AG91" i="5"/>
  <c r="AF91" i="5"/>
  <c r="AE91" i="5"/>
  <c r="AD91" i="5"/>
  <c r="AG90" i="5"/>
  <c r="AF90" i="5"/>
  <c r="AE90" i="5"/>
  <c r="AD90" i="5"/>
  <c r="AG89" i="5"/>
  <c r="AF89" i="5"/>
  <c r="AE89" i="5"/>
  <c r="AD89" i="5"/>
  <c r="AG88" i="5"/>
  <c r="AF88" i="5"/>
  <c r="AE88" i="5"/>
  <c r="AD88" i="5"/>
  <c r="AG84" i="5"/>
  <c r="AF84" i="5"/>
  <c r="AE84" i="5"/>
  <c r="AD84" i="5"/>
  <c r="AG82" i="5"/>
  <c r="AF82" i="5"/>
  <c r="AG81" i="5"/>
  <c r="AF81" i="5"/>
  <c r="AE81" i="5"/>
  <c r="AD81" i="5"/>
  <c r="AG80" i="5"/>
  <c r="AF80" i="5"/>
  <c r="AE80" i="5"/>
  <c r="AD80" i="5"/>
  <c r="AG79" i="5"/>
  <c r="AF79" i="5"/>
  <c r="AE79" i="5"/>
  <c r="AD79" i="5"/>
  <c r="AG78" i="5"/>
  <c r="AF78" i="5"/>
  <c r="AE78" i="5"/>
  <c r="AD78" i="5"/>
  <c r="AG77" i="5"/>
  <c r="AF77" i="5"/>
  <c r="AE77" i="5"/>
  <c r="AD77" i="5"/>
  <c r="AG76" i="5"/>
  <c r="AF76" i="5"/>
  <c r="AE76" i="5"/>
  <c r="AD76" i="5"/>
  <c r="AG75" i="5"/>
  <c r="AF75" i="5"/>
  <c r="AE75" i="5"/>
  <c r="AG74" i="5"/>
  <c r="AF74" i="5"/>
  <c r="AE74" i="5"/>
  <c r="AD74" i="5"/>
  <c r="AG73" i="5"/>
  <c r="AF73" i="5"/>
  <c r="AE73" i="5"/>
  <c r="AD73" i="5"/>
  <c r="AG72" i="5"/>
  <c r="AF72" i="5"/>
  <c r="AE72" i="5"/>
  <c r="AD72" i="5"/>
  <c r="AG71" i="5"/>
  <c r="AF71" i="5"/>
  <c r="AE71" i="5"/>
  <c r="AD71" i="5"/>
  <c r="AG70" i="5"/>
  <c r="AF70" i="5"/>
  <c r="AE70" i="5"/>
  <c r="AD70" i="5"/>
  <c r="AG66" i="5"/>
  <c r="AF66" i="5"/>
  <c r="AE66" i="5"/>
  <c r="AD66" i="5"/>
  <c r="AG65" i="5"/>
  <c r="AF65" i="5"/>
  <c r="AE65" i="5"/>
  <c r="AD65" i="5"/>
  <c r="AG64" i="5"/>
  <c r="AF64" i="5"/>
  <c r="AE64" i="5"/>
  <c r="AD64" i="5"/>
  <c r="AG63" i="5"/>
  <c r="AF63" i="5"/>
  <c r="AE63" i="5"/>
  <c r="AD63" i="5"/>
  <c r="AG62" i="5"/>
  <c r="AF62" i="5"/>
  <c r="AE62" i="5"/>
  <c r="AD62" i="5"/>
  <c r="AH60" i="5"/>
  <c r="AG60" i="5"/>
  <c r="AF60" i="5"/>
  <c r="AE60" i="5"/>
  <c r="AD60" i="5"/>
  <c r="AH55" i="5"/>
  <c r="AG54" i="5"/>
  <c r="AG56" i="5" s="1"/>
  <c r="AG106" i="5" s="1"/>
  <c r="AF54" i="5"/>
  <c r="AF56" i="5" s="1"/>
  <c r="AF106" i="5" s="1"/>
  <c r="AE54" i="5"/>
  <c r="AE56" i="5" s="1"/>
  <c r="AE106" i="5" s="1"/>
  <c r="AD54" i="5"/>
  <c r="AD56" i="5" s="1"/>
  <c r="AD106" i="5" s="1"/>
  <c r="AG48" i="5"/>
  <c r="AF48" i="5"/>
  <c r="AE48" i="5"/>
  <c r="AD48" i="5"/>
  <c r="AH47" i="5"/>
  <c r="AH46" i="5"/>
  <c r="AH48" i="5" s="1"/>
  <c r="AH42" i="5"/>
  <c r="AH40" i="5"/>
  <c r="AH39" i="5"/>
  <c r="AH38" i="5"/>
  <c r="AH37" i="5"/>
  <c r="AH36" i="5"/>
  <c r="AH35" i="5"/>
  <c r="AH31" i="5"/>
  <c r="AE82" i="5"/>
  <c r="AD82" i="5"/>
  <c r="AH28" i="5"/>
  <c r="AH27" i="5"/>
  <c r="AH26" i="5"/>
  <c r="AH25" i="5"/>
  <c r="AH24" i="5"/>
  <c r="AH23" i="5"/>
  <c r="AH22" i="5"/>
  <c r="AG30" i="5"/>
  <c r="AF30" i="5"/>
  <c r="AE30" i="5"/>
  <c r="AD75" i="5"/>
  <c r="AH21" i="5"/>
  <c r="AH20" i="5"/>
  <c r="AH19" i="5"/>
  <c r="AH18" i="5"/>
  <c r="AH17" i="5"/>
  <c r="AG14" i="5"/>
  <c r="AF14" i="5"/>
  <c r="AE14" i="5"/>
  <c r="AD14" i="5"/>
  <c r="AH13" i="5"/>
  <c r="AH12" i="5"/>
  <c r="AH11" i="5"/>
  <c r="AH10" i="5"/>
  <c r="AH9" i="5"/>
  <c r="AH54" i="5" s="1"/>
  <c r="AA81" i="5"/>
  <c r="Z81" i="5"/>
  <c r="Y81" i="5"/>
  <c r="X81" i="5"/>
  <c r="U81" i="5"/>
  <c r="T81" i="5"/>
  <c r="S81" i="5"/>
  <c r="R81" i="5"/>
  <c r="O81" i="5"/>
  <c r="N81" i="5"/>
  <c r="M81" i="5"/>
  <c r="L81" i="5"/>
  <c r="J80" i="5"/>
  <c r="I80" i="5"/>
  <c r="H80" i="5"/>
  <c r="G80" i="5"/>
  <c r="F80" i="5"/>
  <c r="J81" i="5"/>
  <c r="I81" i="5"/>
  <c r="H81" i="5"/>
  <c r="G81" i="5"/>
  <c r="F81" i="5"/>
  <c r="AA29" i="5"/>
  <c r="AB28" i="5"/>
  <c r="V28" i="5"/>
  <c r="P28" i="5"/>
  <c r="J28" i="5"/>
  <c r="Y29" i="5"/>
  <c r="X29" i="5"/>
  <c r="Y22" i="5"/>
  <c r="X22" i="5"/>
  <c r="AF102" i="5" l="1"/>
  <c r="AH80" i="5"/>
  <c r="AH70" i="5"/>
  <c r="AH71" i="5"/>
  <c r="AH72" i="5"/>
  <c r="AH89" i="5"/>
  <c r="AH90" i="5"/>
  <c r="AG102" i="5"/>
  <c r="AH27" i="2"/>
  <c r="AH81" i="5"/>
  <c r="AH84" i="5"/>
  <c r="AH73" i="5"/>
  <c r="AH96" i="5"/>
  <c r="AH76" i="5"/>
  <c r="AH93" i="5"/>
  <c r="AH66" i="5"/>
  <c r="AH77" i="5"/>
  <c r="AH64" i="5"/>
  <c r="AH78" i="5"/>
  <c r="AH75" i="5"/>
  <c r="AH79" i="5"/>
  <c r="AE102" i="5"/>
  <c r="AD27" i="2"/>
  <c r="AH91" i="5"/>
  <c r="AE83" i="5"/>
  <c r="AH100" i="5"/>
  <c r="AD102" i="5"/>
  <c r="AH56" i="5"/>
  <c r="AH106" i="5" s="1"/>
  <c r="AD67" i="5"/>
  <c r="AG83" i="5"/>
  <c r="AF83" i="5"/>
  <c r="AE67" i="5"/>
  <c r="AG67" i="5"/>
  <c r="AF67" i="5"/>
  <c r="AH63" i="5"/>
  <c r="AH14" i="5"/>
  <c r="AE32" i="5"/>
  <c r="AE41" i="5" s="1"/>
  <c r="AE43" i="5" s="1"/>
  <c r="AE50" i="5" s="1"/>
  <c r="AF32" i="5"/>
  <c r="AF41" i="5" s="1"/>
  <c r="AF43" i="5" s="1"/>
  <c r="AF50" i="5" s="1"/>
  <c r="AG32" i="5"/>
  <c r="AG41" i="5" s="1"/>
  <c r="AG43" i="5" s="1"/>
  <c r="AG50" i="5" s="1"/>
  <c r="AD83" i="5"/>
  <c r="AH65" i="5"/>
  <c r="AH29" i="5"/>
  <c r="AH82" i="5" s="1"/>
  <c r="AH62" i="5"/>
  <c r="AH101" i="5"/>
  <c r="AH74" i="5"/>
  <c r="AD30" i="5"/>
  <c r="AD32" i="5" s="1"/>
  <c r="AD41" i="5" s="1"/>
  <c r="AD43" i="5" s="1"/>
  <c r="AD50" i="5" s="1"/>
  <c r="AH92" i="5"/>
  <c r="Z29" i="5"/>
  <c r="AA22" i="5"/>
  <c r="Z22" i="5"/>
  <c r="U29" i="5"/>
  <c r="U22" i="5"/>
  <c r="AG85" i="5" l="1"/>
  <c r="AG95" i="5" s="1"/>
  <c r="AG97" i="5" s="1"/>
  <c r="AG104" i="5" s="1"/>
  <c r="AF85" i="5"/>
  <c r="AF95" i="5" s="1"/>
  <c r="AF97" i="5" s="1"/>
  <c r="AF104" i="5" s="1"/>
  <c r="AE85" i="5"/>
  <c r="AE95" i="5" s="1"/>
  <c r="AE97" i="5" s="1"/>
  <c r="AE104" i="5" s="1"/>
  <c r="AH102" i="5"/>
  <c r="AH83" i="5"/>
  <c r="AH30" i="5"/>
  <c r="AH32" i="5" s="1"/>
  <c r="AH41" i="5" s="1"/>
  <c r="AH43" i="5" s="1"/>
  <c r="AH50" i="5" s="1"/>
  <c r="AD85" i="5"/>
  <c r="AD95" i="5" s="1"/>
  <c r="AD97" i="5" s="1"/>
  <c r="AD104" i="5" s="1"/>
  <c r="AH67" i="5"/>
  <c r="S29" i="5"/>
  <c r="R29" i="5"/>
  <c r="O29" i="5"/>
  <c r="N29" i="5"/>
  <c r="M29" i="5"/>
  <c r="L29" i="5"/>
  <c r="I29" i="5"/>
  <c r="H29" i="5"/>
  <c r="G29" i="5"/>
  <c r="F29" i="5"/>
  <c r="AB12" i="2"/>
  <c r="AA12" i="2"/>
  <c r="AH85" i="5" l="1"/>
  <c r="AH95" i="5" s="1"/>
  <c r="H28" i="3"/>
  <c r="AB13" i="2"/>
  <c r="AA13" i="2"/>
  <c r="Z13" i="2"/>
  <c r="Y13" i="2"/>
  <c r="X13" i="2"/>
  <c r="V13" i="2"/>
  <c r="U13" i="2"/>
  <c r="T13" i="2"/>
  <c r="S13" i="2"/>
  <c r="R13" i="2"/>
  <c r="AH97" i="5" l="1"/>
  <c r="AH104" i="5" s="1"/>
  <c r="X18" i="2"/>
  <c r="AB35" i="5"/>
  <c r="S62" i="5"/>
  <c r="U23" i="5"/>
  <c r="U13" i="5"/>
  <c r="U11" i="5"/>
  <c r="T13" i="5"/>
  <c r="T11" i="5"/>
  <c r="R13" i="5"/>
  <c r="R11" i="5"/>
  <c r="O23" i="5"/>
  <c r="N23" i="5"/>
  <c r="L23" i="5"/>
  <c r="O13" i="5"/>
  <c r="O11" i="5"/>
  <c r="N13" i="5"/>
  <c r="N11" i="5"/>
  <c r="L13" i="5"/>
  <c r="L11" i="5"/>
  <c r="AB118" i="5" l="1"/>
  <c r="AB81" i="5" s="1"/>
  <c r="AA101" i="5"/>
  <c r="Z101" i="5"/>
  <c r="Y101" i="5"/>
  <c r="X101" i="5"/>
  <c r="AA100" i="5"/>
  <c r="Z100" i="5"/>
  <c r="Y100" i="5"/>
  <c r="X100" i="5"/>
  <c r="AA96" i="5"/>
  <c r="Z96" i="5"/>
  <c r="Y96" i="5"/>
  <c r="X96" i="5"/>
  <c r="AA93" i="5"/>
  <c r="Z93" i="5"/>
  <c r="Y93" i="5"/>
  <c r="X93" i="5"/>
  <c r="AA92" i="5"/>
  <c r="Z92" i="5"/>
  <c r="Y92" i="5"/>
  <c r="X92" i="5"/>
  <c r="AA91" i="5"/>
  <c r="Z91" i="5"/>
  <c r="Y91" i="5"/>
  <c r="X91" i="5"/>
  <c r="AA90" i="5"/>
  <c r="Z90" i="5"/>
  <c r="Y90" i="5"/>
  <c r="X90" i="5"/>
  <c r="AA89" i="5"/>
  <c r="Z89" i="5"/>
  <c r="Y89" i="5"/>
  <c r="X89" i="5"/>
  <c r="AA88" i="5"/>
  <c r="Z88" i="5"/>
  <c r="Y88" i="5"/>
  <c r="X88" i="5"/>
  <c r="AA84" i="5"/>
  <c r="Z84" i="5"/>
  <c r="Y84" i="5"/>
  <c r="X84" i="5"/>
  <c r="AA82" i="5"/>
  <c r="Z82" i="5"/>
  <c r="AA80" i="5"/>
  <c r="Y80" i="5"/>
  <c r="X80" i="5"/>
  <c r="AA79" i="5"/>
  <c r="Z79" i="5"/>
  <c r="Y79" i="5"/>
  <c r="X79" i="5"/>
  <c r="AA78" i="5"/>
  <c r="Z78" i="5"/>
  <c r="Y78" i="5"/>
  <c r="X78" i="5"/>
  <c r="AA77" i="5"/>
  <c r="Z77" i="5"/>
  <c r="Y77" i="5"/>
  <c r="X77" i="5"/>
  <c r="AA76" i="5"/>
  <c r="Z76" i="5"/>
  <c r="Y76" i="5"/>
  <c r="X76" i="5"/>
  <c r="AA75" i="5"/>
  <c r="Z75" i="5"/>
  <c r="Y75" i="5"/>
  <c r="X75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6" i="5"/>
  <c r="Z66" i="5"/>
  <c r="Y66" i="5"/>
  <c r="X66" i="5"/>
  <c r="AA65" i="5"/>
  <c r="Z65" i="5"/>
  <c r="Y65" i="5"/>
  <c r="X65" i="5"/>
  <c r="AA64" i="5"/>
  <c r="Z64" i="5"/>
  <c r="Y64" i="5"/>
  <c r="X64" i="5"/>
  <c r="AA63" i="5"/>
  <c r="Z63" i="5"/>
  <c r="Y63" i="5"/>
  <c r="X63" i="5"/>
  <c r="AA62" i="5"/>
  <c r="Z62" i="5"/>
  <c r="Y62" i="5"/>
  <c r="X62" i="5"/>
  <c r="AB60" i="5"/>
  <c r="AA60" i="5"/>
  <c r="Z60" i="5"/>
  <c r="Y60" i="5"/>
  <c r="X60" i="5"/>
  <c r="Z56" i="5"/>
  <c r="Z106" i="5" s="1"/>
  <c r="AA54" i="5"/>
  <c r="AA56" i="5" s="1"/>
  <c r="AA106" i="5" s="1"/>
  <c r="Z54" i="5"/>
  <c r="Y54" i="5"/>
  <c r="Y56" i="5" s="1"/>
  <c r="Y106" i="5" s="1"/>
  <c r="X54" i="5"/>
  <c r="X56" i="5" s="1"/>
  <c r="X106" i="5" s="1"/>
  <c r="AA48" i="5"/>
  <c r="Z48" i="5"/>
  <c r="Y48" i="5"/>
  <c r="X48" i="5"/>
  <c r="AB47" i="5"/>
  <c r="AB46" i="5"/>
  <c r="AB48" i="5" s="1"/>
  <c r="AB42" i="5"/>
  <c r="AB40" i="5"/>
  <c r="AB39" i="5"/>
  <c r="AB38" i="5"/>
  <c r="AB37" i="5"/>
  <c r="AB36" i="5"/>
  <c r="AB31" i="5"/>
  <c r="AA30" i="5"/>
  <c r="Z30" i="5"/>
  <c r="Y30" i="5"/>
  <c r="X30" i="5"/>
  <c r="Y82" i="5"/>
  <c r="AB29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Y14" i="5"/>
  <c r="X14" i="5"/>
  <c r="AB13" i="5"/>
  <c r="AB12" i="5"/>
  <c r="AB11" i="5"/>
  <c r="AB10" i="5"/>
  <c r="AB9" i="5"/>
  <c r="AB25" i="2"/>
  <c r="AA25" i="2"/>
  <c r="Z25" i="2"/>
  <c r="Y25" i="2"/>
  <c r="X25" i="2"/>
  <c r="X27" i="2" s="1"/>
  <c r="AB18" i="2"/>
  <c r="AA18" i="2"/>
  <c r="Z18" i="2"/>
  <c r="Y18" i="2"/>
  <c r="Y27" i="2" l="1"/>
  <c r="Y83" i="5"/>
  <c r="Z67" i="5"/>
  <c r="Y102" i="5"/>
  <c r="AB78" i="5"/>
  <c r="AB96" i="5"/>
  <c r="AB76" i="5"/>
  <c r="AB93" i="5"/>
  <c r="AB63" i="5"/>
  <c r="AB92" i="5"/>
  <c r="AB77" i="5"/>
  <c r="AB62" i="5"/>
  <c r="AB84" i="5"/>
  <c r="AB72" i="5"/>
  <c r="AA102" i="5"/>
  <c r="AB73" i="5"/>
  <c r="AB89" i="5"/>
  <c r="AB100" i="5"/>
  <c r="AB70" i="5"/>
  <c r="Z102" i="5"/>
  <c r="AB88" i="5"/>
  <c r="AB74" i="5"/>
  <c r="AB90" i="5"/>
  <c r="X102" i="5"/>
  <c r="X67" i="5"/>
  <c r="AB71" i="5"/>
  <c r="AB75" i="5"/>
  <c r="AB91" i="5"/>
  <c r="AB64" i="5"/>
  <c r="AB79" i="5"/>
  <c r="AB65" i="5"/>
  <c r="AB80" i="5"/>
  <c r="AB101" i="5"/>
  <c r="AB66" i="5"/>
  <c r="AB82" i="5"/>
  <c r="X32" i="5"/>
  <c r="X41" i="5" s="1"/>
  <c r="X43" i="5" s="1"/>
  <c r="X50" i="5" s="1"/>
  <c r="Y32" i="5"/>
  <c r="Y41" i="5" s="1"/>
  <c r="Y43" i="5" s="1"/>
  <c r="Y50" i="5" s="1"/>
  <c r="Z32" i="5"/>
  <c r="Z41" i="5" s="1"/>
  <c r="Z43" i="5" s="1"/>
  <c r="Z50" i="5" s="1"/>
  <c r="AA83" i="5"/>
  <c r="AA67" i="5"/>
  <c r="AA32" i="5"/>
  <c r="AA41" i="5" s="1"/>
  <c r="AA43" i="5" s="1"/>
  <c r="AA50" i="5" s="1"/>
  <c r="Y67" i="5"/>
  <c r="Z80" i="5"/>
  <c r="Z83" i="5" s="1"/>
  <c r="AB54" i="5"/>
  <c r="AB14" i="5"/>
  <c r="AB55" i="5"/>
  <c r="X82" i="5"/>
  <c r="X83" i="5" s="1"/>
  <c r="AB30" i="5"/>
  <c r="AB27" i="2"/>
  <c r="AA27" i="2"/>
  <c r="Z27" i="2"/>
  <c r="Y85" i="5" l="1"/>
  <c r="Y95" i="5" s="1"/>
  <c r="Y97" i="5" s="1"/>
  <c r="Y104" i="5" s="1"/>
  <c r="AB102" i="5"/>
  <c r="AB83" i="5"/>
  <c r="AB67" i="5"/>
  <c r="X85" i="5"/>
  <c r="X95" i="5" s="1"/>
  <c r="X97" i="5" s="1"/>
  <c r="X104" i="5" s="1"/>
  <c r="AA85" i="5"/>
  <c r="AA95" i="5" s="1"/>
  <c r="AA97" i="5" s="1"/>
  <c r="AA104" i="5" s="1"/>
  <c r="Z85" i="5"/>
  <c r="Z95" i="5" s="1"/>
  <c r="Z97" i="5" s="1"/>
  <c r="Z104" i="5" s="1"/>
  <c r="AB56" i="5"/>
  <c r="AB106" i="5" s="1"/>
  <c r="AB32" i="5"/>
  <c r="AB41" i="5" s="1"/>
  <c r="AB43" i="5" s="1"/>
  <c r="AB50" i="5" s="1"/>
  <c r="J27" i="3"/>
  <c r="D27" i="3"/>
  <c r="N27" i="5"/>
  <c r="M27" i="5"/>
  <c r="AB85" i="5" l="1"/>
  <c r="AB95" i="5" s="1"/>
  <c r="AB97" i="5" l="1"/>
  <c r="AB104" i="5" s="1"/>
  <c r="U80" i="5"/>
  <c r="R80" i="5"/>
  <c r="O80" i="5"/>
  <c r="N80" i="5"/>
  <c r="M80" i="5"/>
  <c r="L80" i="5"/>
  <c r="J27" i="5"/>
  <c r="P27" i="5"/>
  <c r="T29" i="5"/>
  <c r="T27" i="5"/>
  <c r="T80" i="5" s="1"/>
  <c r="S27" i="5"/>
  <c r="S80" i="5" s="1"/>
  <c r="V27" i="5" l="1"/>
  <c r="T82" i="5"/>
  <c r="V38" i="5"/>
  <c r="R55" i="5" l="1"/>
  <c r="T65" i="5"/>
  <c r="R62" i="5"/>
  <c r="V25" i="2" l="1"/>
  <c r="U25" i="2"/>
  <c r="T25" i="2"/>
  <c r="S25" i="2"/>
  <c r="R25" i="2"/>
  <c r="V18" i="2"/>
  <c r="U18" i="2"/>
  <c r="T18" i="2"/>
  <c r="S18" i="2"/>
  <c r="R18" i="2"/>
  <c r="S82" i="5"/>
  <c r="V118" i="5"/>
  <c r="V81" i="5" s="1"/>
  <c r="R74" i="5"/>
  <c r="U101" i="5"/>
  <c r="T101" i="5"/>
  <c r="S101" i="5"/>
  <c r="R101" i="5"/>
  <c r="U100" i="5"/>
  <c r="T100" i="5"/>
  <c r="S100" i="5"/>
  <c r="R100" i="5"/>
  <c r="U96" i="5"/>
  <c r="T96" i="5"/>
  <c r="S96" i="5"/>
  <c r="R96" i="5"/>
  <c r="U93" i="5"/>
  <c r="T93" i="5"/>
  <c r="S93" i="5"/>
  <c r="R93" i="5"/>
  <c r="U92" i="5"/>
  <c r="T92" i="5"/>
  <c r="S92" i="5"/>
  <c r="R92" i="5"/>
  <c r="U91" i="5"/>
  <c r="T91" i="5"/>
  <c r="S91" i="5"/>
  <c r="R91" i="5"/>
  <c r="U90" i="5"/>
  <c r="T90" i="5"/>
  <c r="S90" i="5"/>
  <c r="R90" i="5"/>
  <c r="U89" i="5"/>
  <c r="T89" i="5"/>
  <c r="S89" i="5"/>
  <c r="R89" i="5"/>
  <c r="U88" i="5"/>
  <c r="T88" i="5"/>
  <c r="S88" i="5"/>
  <c r="R88" i="5"/>
  <c r="U84" i="5"/>
  <c r="T84" i="5"/>
  <c r="S84" i="5"/>
  <c r="R84" i="5"/>
  <c r="U82" i="5"/>
  <c r="R82" i="5"/>
  <c r="U79" i="5"/>
  <c r="T79" i="5"/>
  <c r="S79" i="5"/>
  <c r="R79" i="5"/>
  <c r="U78" i="5"/>
  <c r="T78" i="5"/>
  <c r="S78" i="5"/>
  <c r="R78" i="5"/>
  <c r="U77" i="5"/>
  <c r="T77" i="5"/>
  <c r="S77" i="5"/>
  <c r="R77" i="5"/>
  <c r="U76" i="5"/>
  <c r="T76" i="5"/>
  <c r="S76" i="5"/>
  <c r="R76" i="5"/>
  <c r="U75" i="5"/>
  <c r="T75" i="5"/>
  <c r="S75" i="5"/>
  <c r="R75" i="5"/>
  <c r="U74" i="5"/>
  <c r="T74" i="5"/>
  <c r="S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6" i="5"/>
  <c r="T66" i="5"/>
  <c r="S66" i="5"/>
  <c r="R66" i="5"/>
  <c r="U65" i="5"/>
  <c r="S65" i="5"/>
  <c r="R65" i="5"/>
  <c r="U64" i="5"/>
  <c r="T64" i="5"/>
  <c r="S64" i="5"/>
  <c r="R64" i="5"/>
  <c r="U63" i="5"/>
  <c r="T63" i="5"/>
  <c r="S63" i="5"/>
  <c r="R63" i="5"/>
  <c r="U62" i="5"/>
  <c r="T62" i="5"/>
  <c r="V60" i="5"/>
  <c r="U60" i="5"/>
  <c r="T60" i="5"/>
  <c r="S60" i="5"/>
  <c r="R60" i="5"/>
  <c r="V55" i="5"/>
  <c r="U54" i="5"/>
  <c r="U56" i="5" s="1"/>
  <c r="U106" i="5" s="1"/>
  <c r="T54" i="5"/>
  <c r="T56" i="5" s="1"/>
  <c r="T106" i="5" s="1"/>
  <c r="S54" i="5"/>
  <c r="S56" i="5" s="1"/>
  <c r="S106" i="5" s="1"/>
  <c r="R54" i="5"/>
  <c r="R56" i="5" s="1"/>
  <c r="R106" i="5" s="1"/>
  <c r="U48" i="5"/>
  <c r="T48" i="5"/>
  <c r="S48" i="5"/>
  <c r="R48" i="5"/>
  <c r="V47" i="5"/>
  <c r="V46" i="5"/>
  <c r="V42" i="5"/>
  <c r="V40" i="5"/>
  <c r="V39" i="5"/>
  <c r="V37" i="5"/>
  <c r="V36" i="5"/>
  <c r="V35" i="5"/>
  <c r="V31" i="5"/>
  <c r="U30" i="5"/>
  <c r="T30" i="5"/>
  <c r="S30" i="5"/>
  <c r="R30" i="5"/>
  <c r="V29" i="5"/>
  <c r="V26" i="5"/>
  <c r="V25" i="5"/>
  <c r="V24" i="5"/>
  <c r="V23" i="5"/>
  <c r="V22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S27" i="2" l="1"/>
  <c r="R102" i="5"/>
  <c r="V80" i="5"/>
  <c r="U32" i="5"/>
  <c r="U41" i="5" s="1"/>
  <c r="U43" i="5" s="1"/>
  <c r="U50" i="5" s="1"/>
  <c r="U67" i="5"/>
  <c r="R83" i="5"/>
  <c r="T67" i="5"/>
  <c r="S67" i="5"/>
  <c r="S83" i="5"/>
  <c r="T83" i="5"/>
  <c r="V92" i="5"/>
  <c r="U102" i="5"/>
  <c r="V76" i="5"/>
  <c r="V96" i="5"/>
  <c r="T32" i="5"/>
  <c r="T41" i="5" s="1"/>
  <c r="T43" i="5" s="1"/>
  <c r="T50" i="5" s="1"/>
  <c r="S32" i="5"/>
  <c r="S41" i="5" s="1"/>
  <c r="S43" i="5" s="1"/>
  <c r="S50" i="5" s="1"/>
  <c r="R27" i="2"/>
  <c r="R67" i="5"/>
  <c r="V63" i="5"/>
  <c r="V88" i="5"/>
  <c r="V71" i="5"/>
  <c r="V65" i="5"/>
  <c r="V90" i="5"/>
  <c r="V70" i="5"/>
  <c r="V79" i="5"/>
  <c r="V72" i="5"/>
  <c r="V78" i="5"/>
  <c r="V101" i="5"/>
  <c r="V64" i="5"/>
  <c r="V89" i="5"/>
  <c r="V82" i="5"/>
  <c r="V27" i="2"/>
  <c r="U27" i="2"/>
  <c r="T27" i="2"/>
  <c r="V66" i="5"/>
  <c r="V91" i="5"/>
  <c r="V74" i="5"/>
  <c r="V73" i="5"/>
  <c r="V75" i="5"/>
  <c r="V93" i="5"/>
  <c r="U83" i="5"/>
  <c r="V62" i="5"/>
  <c r="V77" i="5"/>
  <c r="V84" i="5"/>
  <c r="V100" i="5"/>
  <c r="S102" i="5"/>
  <c r="T102" i="5"/>
  <c r="R32" i="5"/>
  <c r="R41" i="5" s="1"/>
  <c r="R43" i="5" s="1"/>
  <c r="R50" i="5" s="1"/>
  <c r="V54" i="5"/>
  <c r="V56" i="5" s="1"/>
  <c r="V106" i="5" s="1"/>
  <c r="V48" i="5"/>
  <c r="V30" i="5"/>
  <c r="V14" i="5"/>
  <c r="O90" i="5"/>
  <c r="N90" i="5"/>
  <c r="M90" i="5"/>
  <c r="L90" i="5"/>
  <c r="V83" i="5" l="1"/>
  <c r="R85" i="5"/>
  <c r="U85" i="5"/>
  <c r="U95" i="5" s="1"/>
  <c r="U97" i="5" s="1"/>
  <c r="U104" i="5" s="1"/>
  <c r="T85" i="5"/>
  <c r="T95" i="5" s="1"/>
  <c r="T97" i="5" s="1"/>
  <c r="T104" i="5" s="1"/>
  <c r="V67" i="5"/>
  <c r="V102" i="5"/>
  <c r="S85" i="5"/>
  <c r="S95" i="5" s="1"/>
  <c r="S97" i="5" s="1"/>
  <c r="S104" i="5" s="1"/>
  <c r="V32" i="5"/>
  <c r="V41" i="5" s="1"/>
  <c r="V43" i="5" s="1"/>
  <c r="V50" i="5" s="1"/>
  <c r="D28" i="3"/>
  <c r="P118" i="5"/>
  <c r="P81" i="5" s="1"/>
  <c r="P37" i="5"/>
  <c r="N76" i="5"/>
  <c r="N65" i="5"/>
  <c r="M82" i="5"/>
  <c r="V85" i="5" l="1"/>
  <c r="V95" i="5" s="1"/>
  <c r="V97" i="5" s="1"/>
  <c r="V104" i="5" s="1"/>
  <c r="P80" i="5"/>
  <c r="R95" i="5"/>
  <c r="R97" i="5" s="1"/>
  <c r="R104" i="5" s="1"/>
  <c r="P90" i="5"/>
  <c r="L62" i="5"/>
  <c r="L74" i="5"/>
  <c r="P25" i="2" l="1"/>
  <c r="O25" i="2"/>
  <c r="N25" i="2"/>
  <c r="M25" i="2"/>
  <c r="L25" i="2"/>
  <c r="P18" i="2"/>
  <c r="O18" i="2"/>
  <c r="N18" i="2"/>
  <c r="M18" i="2"/>
  <c r="L18" i="2"/>
  <c r="P13" i="2"/>
  <c r="O13" i="2"/>
  <c r="N13" i="2"/>
  <c r="M13" i="2"/>
  <c r="L13" i="2"/>
  <c r="O84" i="5"/>
  <c r="O74" i="5"/>
  <c r="N82" i="5"/>
  <c r="P119" i="5"/>
  <c r="O101" i="5"/>
  <c r="N101" i="5"/>
  <c r="M101" i="5"/>
  <c r="L101" i="5"/>
  <c r="O100" i="5"/>
  <c r="N100" i="5"/>
  <c r="M100" i="5"/>
  <c r="L100" i="5"/>
  <c r="O96" i="5"/>
  <c r="N96" i="5"/>
  <c r="M96" i="5"/>
  <c r="L96" i="5"/>
  <c r="O93" i="5"/>
  <c r="N93" i="5"/>
  <c r="M93" i="5"/>
  <c r="L93" i="5"/>
  <c r="O92" i="5"/>
  <c r="N92" i="5"/>
  <c r="M92" i="5"/>
  <c r="L92" i="5"/>
  <c r="O91" i="5"/>
  <c r="N91" i="5"/>
  <c r="M91" i="5"/>
  <c r="L91" i="5"/>
  <c r="O89" i="5"/>
  <c r="N89" i="5"/>
  <c r="M89" i="5"/>
  <c r="L89" i="5"/>
  <c r="O88" i="5"/>
  <c r="N88" i="5"/>
  <c r="M88" i="5"/>
  <c r="L88" i="5"/>
  <c r="M84" i="5"/>
  <c r="O82" i="5"/>
  <c r="L82" i="5"/>
  <c r="O79" i="5"/>
  <c r="N79" i="5"/>
  <c r="M79" i="5"/>
  <c r="L79" i="5"/>
  <c r="O78" i="5"/>
  <c r="N78" i="5"/>
  <c r="M78" i="5"/>
  <c r="L78" i="5"/>
  <c r="O77" i="5"/>
  <c r="N77" i="5"/>
  <c r="M77" i="5"/>
  <c r="L77" i="5"/>
  <c r="O76" i="5"/>
  <c r="M76" i="5"/>
  <c r="L76" i="5"/>
  <c r="O75" i="5"/>
  <c r="N75" i="5"/>
  <c r="M75" i="5"/>
  <c r="L75" i="5"/>
  <c r="N74" i="5"/>
  <c r="M74" i="5"/>
  <c r="O73" i="5"/>
  <c r="N73" i="5"/>
  <c r="M73" i="5"/>
  <c r="L73" i="5"/>
  <c r="O72" i="5"/>
  <c r="N72" i="5"/>
  <c r="M72" i="5"/>
  <c r="L72" i="5"/>
  <c r="O71" i="5"/>
  <c r="N71" i="5"/>
  <c r="M71" i="5"/>
  <c r="L71" i="5"/>
  <c r="O70" i="5"/>
  <c r="N70" i="5"/>
  <c r="M70" i="5"/>
  <c r="L70" i="5"/>
  <c r="O66" i="5"/>
  <c r="N66" i="5"/>
  <c r="M66" i="5"/>
  <c r="L66" i="5"/>
  <c r="O65" i="5"/>
  <c r="M65" i="5"/>
  <c r="L65" i="5"/>
  <c r="O64" i="5"/>
  <c r="N64" i="5"/>
  <c r="M64" i="5"/>
  <c r="L64" i="5"/>
  <c r="O63" i="5"/>
  <c r="N63" i="5"/>
  <c r="M63" i="5"/>
  <c r="L63" i="5"/>
  <c r="O62" i="5"/>
  <c r="N62" i="5"/>
  <c r="M62" i="5"/>
  <c r="P60" i="5"/>
  <c r="O60" i="5"/>
  <c r="N60" i="5"/>
  <c r="M60" i="5"/>
  <c r="L60" i="5"/>
  <c r="P55" i="5"/>
  <c r="O54" i="5"/>
  <c r="O56" i="5" s="1"/>
  <c r="O106" i="5" s="1"/>
  <c r="N54" i="5"/>
  <c r="N56" i="5" s="1"/>
  <c r="N106" i="5" s="1"/>
  <c r="M54" i="5"/>
  <c r="M56" i="5" s="1"/>
  <c r="M106" i="5" s="1"/>
  <c r="L54" i="5"/>
  <c r="L56" i="5" s="1"/>
  <c r="L106" i="5" s="1"/>
  <c r="O48" i="5"/>
  <c r="N48" i="5"/>
  <c r="M48" i="5"/>
  <c r="L48" i="5"/>
  <c r="P47" i="5"/>
  <c r="P101" i="5" s="1"/>
  <c r="P46" i="5"/>
  <c r="P42" i="5"/>
  <c r="P96" i="5" s="1"/>
  <c r="P40" i="5"/>
  <c r="P93" i="5" s="1"/>
  <c r="P39" i="5"/>
  <c r="P92" i="5" s="1"/>
  <c r="P38" i="5"/>
  <c r="P91" i="5" s="1"/>
  <c r="P36" i="5"/>
  <c r="P89" i="5" s="1"/>
  <c r="P35" i="5"/>
  <c r="P88" i="5" s="1"/>
  <c r="N84" i="5"/>
  <c r="L84" i="5"/>
  <c r="O30" i="5"/>
  <c r="N30" i="5"/>
  <c r="M30" i="5"/>
  <c r="L30" i="5"/>
  <c r="P26" i="5"/>
  <c r="P79" i="5" s="1"/>
  <c r="P25" i="5"/>
  <c r="P78" i="5" s="1"/>
  <c r="P24" i="5"/>
  <c r="P77" i="5" s="1"/>
  <c r="P23" i="5"/>
  <c r="P76" i="5" s="1"/>
  <c r="P22" i="5"/>
  <c r="P75" i="5" s="1"/>
  <c r="P21" i="5"/>
  <c r="P74" i="5" s="1"/>
  <c r="P20" i="5"/>
  <c r="P73" i="5" s="1"/>
  <c r="P19" i="5"/>
  <c r="P72" i="5" s="1"/>
  <c r="P18" i="5"/>
  <c r="P71" i="5" s="1"/>
  <c r="P17" i="5"/>
  <c r="P70" i="5" s="1"/>
  <c r="O14" i="5"/>
  <c r="N14" i="5"/>
  <c r="M14" i="5"/>
  <c r="L14" i="5"/>
  <c r="P13" i="5"/>
  <c r="P66" i="5" s="1"/>
  <c r="P12" i="5"/>
  <c r="P65" i="5" s="1"/>
  <c r="P11" i="5"/>
  <c r="P64" i="5" s="1"/>
  <c r="P10" i="5"/>
  <c r="P63" i="5" s="1"/>
  <c r="P9" i="5"/>
  <c r="P62" i="5" s="1"/>
  <c r="I31" i="5"/>
  <c r="I84" i="5" s="1"/>
  <c r="H31" i="5"/>
  <c r="F31" i="5"/>
  <c r="I74" i="5"/>
  <c r="I62" i="5"/>
  <c r="I82" i="5"/>
  <c r="J46" i="5"/>
  <c r="I101" i="5"/>
  <c r="I100" i="5"/>
  <c r="I96" i="5"/>
  <c r="I93" i="5"/>
  <c r="I92" i="5"/>
  <c r="I91" i="5"/>
  <c r="I89" i="5"/>
  <c r="I88" i="5"/>
  <c r="I79" i="5"/>
  <c r="I78" i="5"/>
  <c r="I77" i="5"/>
  <c r="I76" i="5"/>
  <c r="I75" i="5"/>
  <c r="I73" i="5"/>
  <c r="I72" i="5"/>
  <c r="I71" i="5"/>
  <c r="I70" i="5"/>
  <c r="I66" i="5"/>
  <c r="I65" i="5"/>
  <c r="I64" i="5"/>
  <c r="I63" i="5"/>
  <c r="O67" i="5" l="1"/>
  <c r="M67" i="5"/>
  <c r="L67" i="5"/>
  <c r="L27" i="2"/>
  <c r="P48" i="5"/>
  <c r="I83" i="5"/>
  <c r="L83" i="5"/>
  <c r="L85" i="5" s="1"/>
  <c r="N67" i="5"/>
  <c r="M83" i="5"/>
  <c r="N83" i="5"/>
  <c r="N32" i="5"/>
  <c r="P67" i="5"/>
  <c r="P100" i="5"/>
  <c r="P102" i="5" s="1"/>
  <c r="O102" i="5"/>
  <c r="O83" i="5"/>
  <c r="L32" i="5"/>
  <c r="N102" i="5"/>
  <c r="O27" i="2"/>
  <c r="N27" i="2"/>
  <c r="P27" i="2"/>
  <c r="L102" i="5"/>
  <c r="M102" i="5"/>
  <c r="M32" i="5"/>
  <c r="O32" i="5"/>
  <c r="P14" i="5"/>
  <c r="P29" i="5"/>
  <c r="P82" i="5" s="1"/>
  <c r="P83" i="5" s="1"/>
  <c r="P54" i="5"/>
  <c r="P56" i="5" s="1"/>
  <c r="P106" i="5" s="1"/>
  <c r="P31" i="5"/>
  <c r="P84" i="5" s="1"/>
  <c r="I67" i="5"/>
  <c r="I102" i="5"/>
  <c r="L41" i="5" l="1"/>
  <c r="L43" i="5" s="1"/>
  <c r="L50" i="5" s="1"/>
  <c r="M41" i="5"/>
  <c r="M43" i="5" s="1"/>
  <c r="M50" i="5" s="1"/>
  <c r="O41" i="5"/>
  <c r="O43" i="5" s="1"/>
  <c r="O50" i="5" s="1"/>
  <c r="N41" i="5"/>
  <c r="N43" i="5" s="1"/>
  <c r="N50" i="5" s="1"/>
  <c r="N85" i="5"/>
  <c r="N95" i="5" s="1"/>
  <c r="N97" i="5" s="1"/>
  <c r="N104" i="5" s="1"/>
  <c r="O85" i="5"/>
  <c r="I85" i="5"/>
  <c r="I95" i="5" s="1"/>
  <c r="I97" i="5" s="1"/>
  <c r="I104" i="5" s="1"/>
  <c r="P85" i="5"/>
  <c r="P95" i="5" s="1"/>
  <c r="P97" i="5" s="1"/>
  <c r="M85" i="5"/>
  <c r="M95" i="5" s="1"/>
  <c r="M97" i="5" s="1"/>
  <c r="M104" i="5" s="1"/>
  <c r="P30" i="5"/>
  <c r="P32" i="5" s="1"/>
  <c r="O95" i="5" l="1"/>
  <c r="O97" i="5" s="1"/>
  <c r="O104" i="5" s="1"/>
  <c r="P104" i="5"/>
  <c r="P41" i="5"/>
  <c r="P43" i="5" s="1"/>
  <c r="P50" i="5" s="1"/>
  <c r="L95" i="5"/>
  <c r="L97" i="5" s="1"/>
  <c r="L104" i="5" s="1"/>
  <c r="J55" i="5" l="1"/>
  <c r="I54" i="5" l="1"/>
  <c r="I56" i="5" s="1"/>
  <c r="I106" i="5" s="1"/>
  <c r="H54" i="5"/>
  <c r="H56" i="5" s="1"/>
  <c r="H106" i="5" s="1"/>
  <c r="G54" i="5"/>
  <c r="G56" i="5" s="1"/>
  <c r="G106" i="5" s="1"/>
  <c r="F54" i="5"/>
  <c r="F56" i="5" s="1"/>
  <c r="F106" i="5" s="1"/>
  <c r="H84" i="5"/>
  <c r="G84" i="5"/>
  <c r="F84" i="5"/>
  <c r="J31" i="5"/>
  <c r="J84" i="5" s="1"/>
  <c r="H82" i="5"/>
  <c r="F40" i="5" l="1"/>
  <c r="J26" i="5"/>
  <c r="J79" i="5" s="1"/>
  <c r="H79" i="5" l="1"/>
  <c r="G79" i="5"/>
  <c r="F79" i="5"/>
  <c r="G82" i="5" l="1"/>
  <c r="J25" i="2" l="1"/>
  <c r="I25" i="2"/>
  <c r="H25" i="2"/>
  <c r="G25" i="2"/>
  <c r="F25" i="2"/>
  <c r="J18" i="2"/>
  <c r="I18" i="2"/>
  <c r="H18" i="2"/>
  <c r="G18" i="2"/>
  <c r="F18" i="2"/>
  <c r="J13" i="2"/>
  <c r="I13" i="2"/>
  <c r="H13" i="2"/>
  <c r="G13" i="2"/>
  <c r="F13" i="2"/>
  <c r="H66" i="5"/>
  <c r="F66" i="5"/>
  <c r="J119" i="5"/>
  <c r="H101" i="5"/>
  <c r="G101" i="5"/>
  <c r="F101" i="5"/>
  <c r="H100" i="5"/>
  <c r="G100" i="5"/>
  <c r="F100" i="5"/>
  <c r="H96" i="5"/>
  <c r="G96" i="5"/>
  <c r="F96" i="5"/>
  <c r="H93" i="5"/>
  <c r="G93" i="5"/>
  <c r="F93" i="5"/>
  <c r="H92" i="5"/>
  <c r="G92" i="5"/>
  <c r="F92" i="5"/>
  <c r="H91" i="5"/>
  <c r="G91" i="5"/>
  <c r="F91" i="5"/>
  <c r="H89" i="5"/>
  <c r="G89" i="5"/>
  <c r="F89" i="5"/>
  <c r="H88" i="5"/>
  <c r="G88" i="5"/>
  <c r="F88" i="5"/>
  <c r="H78" i="5"/>
  <c r="G78" i="5"/>
  <c r="F78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G71" i="5"/>
  <c r="F71" i="5"/>
  <c r="H70" i="5"/>
  <c r="G70" i="5"/>
  <c r="F70" i="5"/>
  <c r="H65" i="5"/>
  <c r="G65" i="5"/>
  <c r="F65" i="5"/>
  <c r="H64" i="5"/>
  <c r="G64" i="5"/>
  <c r="F64" i="5"/>
  <c r="H63" i="5"/>
  <c r="G63" i="5"/>
  <c r="F63" i="5"/>
  <c r="H62" i="5"/>
  <c r="G62" i="5"/>
  <c r="F62" i="5"/>
  <c r="J60" i="5"/>
  <c r="I60" i="5"/>
  <c r="H60" i="5"/>
  <c r="G60" i="5"/>
  <c r="F60" i="5"/>
  <c r="H48" i="5"/>
  <c r="G48" i="5"/>
  <c r="F48" i="5"/>
  <c r="I48" i="5"/>
  <c r="J42" i="5"/>
  <c r="J96" i="5" s="1"/>
  <c r="J40" i="5"/>
  <c r="J93" i="5" s="1"/>
  <c r="J39" i="5"/>
  <c r="J38" i="5"/>
  <c r="J36" i="5"/>
  <c r="J89" i="5" s="1"/>
  <c r="J35" i="5"/>
  <c r="I30" i="5"/>
  <c r="F82" i="5"/>
  <c r="J25" i="5"/>
  <c r="J24" i="5"/>
  <c r="J77" i="5" s="1"/>
  <c r="J23" i="5"/>
  <c r="J76" i="5" s="1"/>
  <c r="J22" i="5"/>
  <c r="J21" i="5"/>
  <c r="J74" i="5" s="1"/>
  <c r="J20" i="5"/>
  <c r="J19" i="5"/>
  <c r="J72" i="5" s="1"/>
  <c r="H30" i="5"/>
  <c r="J17" i="5"/>
  <c r="H14" i="5"/>
  <c r="G14" i="5"/>
  <c r="F14" i="5"/>
  <c r="I14" i="5"/>
  <c r="G66" i="5"/>
  <c r="J12" i="5"/>
  <c r="J11" i="5"/>
  <c r="J10" i="5"/>
  <c r="J9" i="5"/>
  <c r="J54" i="5" s="1"/>
  <c r="J56" i="5" s="1"/>
  <c r="J106" i="5" s="1"/>
  <c r="H32" i="5" l="1"/>
  <c r="I32" i="5"/>
  <c r="I41" i="5" s="1"/>
  <c r="I43" i="5" s="1"/>
  <c r="I50" i="5" s="1"/>
  <c r="G83" i="5"/>
  <c r="J88" i="5"/>
  <c r="J65" i="5"/>
  <c r="J75" i="5"/>
  <c r="H102" i="5"/>
  <c r="J92" i="5"/>
  <c r="J64" i="5"/>
  <c r="J100" i="5"/>
  <c r="G102" i="5"/>
  <c r="F67" i="5"/>
  <c r="J27" i="2"/>
  <c r="F27" i="2"/>
  <c r="G27" i="2"/>
  <c r="H27" i="2"/>
  <c r="I27" i="2"/>
  <c r="F102" i="5"/>
  <c r="J78" i="5"/>
  <c r="J91" i="5"/>
  <c r="J18" i="5"/>
  <c r="J71" i="5" s="1"/>
  <c r="H67" i="5"/>
  <c r="H71" i="5"/>
  <c r="H83" i="5" s="1"/>
  <c r="J62" i="5"/>
  <c r="J13" i="5"/>
  <c r="J66" i="5" s="1"/>
  <c r="J73" i="5"/>
  <c r="G67" i="5"/>
  <c r="J63" i="5"/>
  <c r="F83" i="5"/>
  <c r="H41" i="5"/>
  <c r="H43" i="5" s="1"/>
  <c r="H50" i="5" s="1"/>
  <c r="J47" i="5"/>
  <c r="J101" i="5" s="1"/>
  <c r="J29" i="5"/>
  <c r="J82" i="5" s="1"/>
  <c r="F30" i="5"/>
  <c r="F32" i="5" s="1"/>
  <c r="J70" i="5"/>
  <c r="G30" i="5"/>
  <c r="H85" i="5" l="1"/>
  <c r="H95" i="5" s="1"/>
  <c r="H97" i="5" s="1"/>
  <c r="H104" i="5" s="1"/>
  <c r="G85" i="5"/>
  <c r="F85" i="5"/>
  <c r="F95" i="5" s="1"/>
  <c r="J83" i="5"/>
  <c r="F41" i="5"/>
  <c r="F43" i="5" s="1"/>
  <c r="F50" i="5" s="1"/>
  <c r="G32" i="5"/>
  <c r="G41" i="5" s="1"/>
  <c r="G43" i="5" s="1"/>
  <c r="G50" i="5" s="1"/>
  <c r="J67" i="5"/>
  <c r="J14" i="5"/>
  <c r="J48" i="5"/>
  <c r="J102" i="5"/>
  <c r="J30" i="5"/>
  <c r="F28" i="3"/>
  <c r="J85" i="5" l="1"/>
  <c r="J95" i="5" s="1"/>
  <c r="J32" i="5"/>
  <c r="J41" i="5" s="1"/>
  <c r="J43" i="5" s="1"/>
  <c r="J50" i="5" s="1"/>
  <c r="G95" i="5"/>
  <c r="G97" i="5" s="1"/>
  <c r="G104" i="5" s="1"/>
  <c r="F97" i="5"/>
  <c r="F104" i="5" s="1"/>
  <c r="J97" i="5" l="1"/>
  <c r="J104" i="5" s="1"/>
  <c r="F27" i="3" l="1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<sst xmlns="http://schemas.openxmlformats.org/spreadsheetml/2006/main" count="192" uniqueCount="103">
  <si>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</si>
  <si>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</si>
  <si>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</si>
  <si>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</si>
  <si>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</si>
  <si>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</si>
  <si>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</si>
  <si>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</si>
  <si>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</si>
  <si>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</si>
  <si>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</si>
  <si>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</si>
  <si>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</si>
  <si>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</si>
  <si>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</si>
  <si>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</si>
  <si>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</si>
  <si>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</si>
  <si>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</si>
  <si>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</si>
  <si>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</si>
  <si>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</si>
  <si>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</si>
  <si>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</si>
  <si>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</si>
  <si>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</si>
  <si>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</si>
  <si>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</si>
  <si>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</si>
  <si>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</si>
  <si>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</si>
  <si>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</si>
  <si>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</si>
  <si>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</si>
  <si>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</si>
  <si>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</si>
  <si>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</si>
  <si>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</si>
  <si>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</si>
  <si>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</si>
  <si>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</si>
  <si>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</si>
  <si>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</si>
  <si>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</si>
  <si>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</si>
  <si>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</si>
  <si>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</si>
  <si>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</si>
  <si>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</si>
  <si>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</si>
  <si>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</si>
  <si>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</si>
  <si>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</si>
  <si>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</si>
  <si>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</si>
  <si>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</si>
  <si>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</si>
  <si>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</si>
  <si>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</si>
  <si>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</si>
  <si>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</si>
  <si>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</si>
  <si>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</si>
  <si>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</si>
  <si>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</si>
  <si>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</si>
  <si>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</si>
  <si>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</si>
  <si>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</si>
  <si>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</si>
  <si>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</si>
  <si>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</si>
  <si>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</si>
  <si>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</si>
  <si>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</si>
  <si>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</si>
  <si>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</si>
  <si>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</si>
  <si>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</si>
  <si>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Net gain on asset divestitures</t>
  </si>
  <si>
    <t xml:space="preserve">  Carbon management business expenses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</si>
  <si>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</si>
  <si>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</si>
  <si>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</si>
  <si>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</si>
  <si>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</si>
  <si>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</si>
  <si>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t xml:space="preserve">  Interest and other revenue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</si>
  <si>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</si>
  <si>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</si>
  <si>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</si>
  <si>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At December 31, 2024</t>
  </si>
  <si>
    <t>Other</t>
  </si>
  <si>
    <t>Basins</t>
  </si>
  <si>
    <t xml:space="preserve">   Other Basins</t>
  </si>
  <si>
    <t xml:space="preserve">  Net loss on natural gas purchased derivatives</t>
  </si>
  <si>
    <t xml:space="preserve">  Measurement period adjustments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</si>
  <si>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2021, 2022 and 2023 amounts related to NGL marketing activities have been reclassified to conform to CRC's 2024 presentation.</t>
    </r>
  </si>
  <si>
    <t>1Q 2025</t>
  </si>
  <si>
    <t>3Q 2025</t>
  </si>
  <si>
    <t>2Q 2025</t>
  </si>
  <si>
    <t>4Q 2025</t>
  </si>
  <si>
    <t xml:space="preserve">  Net loss (gain) on natural gas purchased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</si>
</sst>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0" fontId="4" fillId="0" borderId="0" xfId="0" applyFont="1" applyBorder="1" applyAlignment="1"/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44" fontId="3" fillId="0" borderId="3" xfId="2" applyFont="1" applyBorder="1" applyAlignment="1"/>
    <xf numFmtId="44" fontId="3" fillId="0" borderId="0" xfId="2" applyFont="1" applyBorder="1" applyAlignment="1"/>
    <xf numFmtId="0" fontId="3" fillId="0" borderId="0" xfId="0" applyNumberFormat="1" applyFont="1" applyFill="1" applyAlignment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  <xf numFmtId="0" fontId="16" fillId="0" borderId="0" xfId="0" applyFont="1"/>
    <xf numFmtId="0" fontId="7" fillId="0" borderId="0" xfId="0" applyFont="1" applyFill="1"/>
    <xf numFmtId="41" fontId="3" fillId="0" borderId="0" xfId="0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I134"/>
  <sheetViews>
    <sheetView showGridLines="0" tabSelected="1" zoomScale="84" zoomScaleNormal="84" workbookViewId="0">
      <pane xSplit="4" ySplit="7" topLeftCell="W8" activePane="bottomRight" state="frozen"/>
      <selection pane="topRight" activeCell="E1" sqref="E1"/>
      <selection pane="bottomLeft" activeCell="A8" sqref="A8"/>
      <selection pane="bottomRight" activeCell="A2" sqref="A2"/>
    </sheetView>
  </sheetViews>
  <sheetFormatPr defaultRowHeight="12.75" outlineLevelRow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7" max="8" width="8.7109375" customWidth="1"/>
    <col min="9" max="9" width="9.28515625" customWidth="1"/>
    <col min="10" max="10" width="9.42578125" customWidth="1"/>
    <col min="11" max="11" width="2.7109375" customWidth="1"/>
    <col min="12" max="16" width="9.42578125" customWidth="1"/>
    <col min="17" max="17" width="2.7109375" customWidth="1"/>
    <col min="18" max="18" width="12.28515625" customWidth="1"/>
    <col min="22" max="22" width="10.42578125" bestFit="1" customWidth="1"/>
    <col min="23" max="23" width="2.7109375" customWidth="1"/>
    <col min="24" max="24" width="8.7109375" customWidth="1"/>
    <col min="26" max="27" width="9.7109375" bestFit="1" customWidth="1"/>
    <col min="28" max="28" width="10.7109375" customWidth="1"/>
    <col min="29" max="29" width="2.7109375" customWidth="1"/>
    <col min="30" max="30" width="10.28515625" customWidth="1"/>
    <col min="31" max="32" width="9.7109375" bestFit="1" customWidth="1"/>
    <col min="33" max="33" width="9.7109375" customWidth="1"/>
    <col min="34" max="34" width="10.7109375" customWidth="1"/>
  </cols>
  <sheetData>
    <row r="2" spans="1:34" ht="18" x14ac:dyDescent="0.25">
      <c r="B2" s="22" t="s">
        <v>0</v>
      </c>
    </row>
    <row r="3" spans="1:34" x14ac:dyDescent="0.2">
      <c r="A3" t="s">
        <v>19</v>
      </c>
    </row>
    <row r="5" spans="1:34" ht="16.5" thickBot="1" x14ac:dyDescent="0.3">
      <c r="B5" s="24" t="s">
        <v>31</v>
      </c>
      <c r="C5" s="26"/>
      <c r="D5" s="26"/>
      <c r="F5" s="26"/>
      <c r="G5" s="26"/>
      <c r="H5" s="26"/>
      <c r="I5" s="26"/>
      <c r="J5" s="26"/>
      <c r="K5" s="11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</row>
    <row r="6" spans="1:34" ht="6" customHeight="1" thickTop="1" x14ac:dyDescent="0.2">
      <c r="B6" s="1"/>
    </row>
    <row r="7" spans="1:34" x14ac:dyDescent="0.2">
      <c r="F7" s="31" t="s">
        <v>44</v>
      </c>
      <c r="G7" s="31" t="s">
        <v>45</v>
      </c>
      <c r="H7" s="31" t="s">
        <v>46</v>
      </c>
      <c r="I7" s="31" t="s">
        <v>47</v>
      </c>
      <c r="J7" s="31" t="s">
        <v>1</v>
      </c>
      <c r="K7" s="81"/>
      <c r="L7" s="31" t="s">
        <v>66</v>
      </c>
      <c r="M7" s="31" t="s">
        <v>67</v>
      </c>
      <c r="N7" s="31" t="s">
        <v>68</v>
      </c>
      <c r="O7" s="31" t="s">
        <v>69</v>
      </c>
      <c r="P7" s="31" t="s">
        <v>1</v>
      </c>
      <c r="R7" s="31" t="s">
        <v>71</v>
      </c>
      <c r="S7" s="31" t="s">
        <v>72</v>
      </c>
      <c r="T7" s="31" t="s">
        <v>73</v>
      </c>
      <c r="U7" s="31" t="s">
        <v>74</v>
      </c>
      <c r="V7" s="31" t="s">
        <v>1</v>
      </c>
      <c r="X7" s="31" t="s">
        <v>81</v>
      </c>
      <c r="Y7" s="31" t="s">
        <v>82</v>
      </c>
      <c r="Z7" s="31" t="s">
        <v>83</v>
      </c>
      <c r="AA7" s="31" t="s">
        <v>84</v>
      </c>
      <c r="AB7" s="31" t="s">
        <v>1</v>
      </c>
      <c r="AD7" s="31" t="s">
        <v>98</v>
      </c>
      <c r="AE7" s="31" t="s">
        <v>100</v>
      </c>
      <c r="AF7" s="31" t="s">
        <v>99</v>
      </c>
      <c r="AG7" s="31" t="s">
        <v>101</v>
      </c>
      <c r="AH7" s="31" t="s">
        <v>1</v>
      </c>
    </row>
    <row r="8" spans="1:34" x14ac:dyDescent="0.2">
      <c r="B8" s="1" t="s">
        <v>42</v>
      </c>
      <c r="C8" s="2"/>
      <c r="F8" s="3"/>
      <c r="G8" s="4"/>
      <c r="H8" s="4"/>
      <c r="I8" s="4"/>
      <c r="J8" s="4"/>
      <c r="K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  <c r="AD8" s="3"/>
      <c r="AE8" s="4"/>
      <c r="AF8" s="4"/>
      <c r="AG8" s="4"/>
      <c r="AH8" s="4"/>
    </row>
    <row r="9" spans="1:34" x14ac:dyDescent="0.2">
      <c r="B9" s="37" t="s">
        <v>62</v>
      </c>
      <c r="C9" s="7"/>
      <c r="E9" s="7"/>
      <c r="F9" s="57">
        <v>432</v>
      </c>
      <c r="G9" s="23">
        <v>478</v>
      </c>
      <c r="H9" s="23">
        <v>549</v>
      </c>
      <c r="I9" s="23">
        <v>589</v>
      </c>
      <c r="J9" s="57">
        <f>+F9+G9+H9+I9</f>
        <v>2048</v>
      </c>
      <c r="K9" s="57"/>
      <c r="L9" s="57">
        <v>628</v>
      </c>
      <c r="M9" s="23">
        <v>718</v>
      </c>
      <c r="N9" s="23">
        <v>680</v>
      </c>
      <c r="O9" s="23">
        <v>617</v>
      </c>
      <c r="P9" s="57">
        <f>+L9+M9+N9+O9</f>
        <v>2643</v>
      </c>
      <c r="R9" s="57">
        <v>715</v>
      </c>
      <c r="S9" s="23">
        <v>447</v>
      </c>
      <c r="T9" s="23">
        <v>510</v>
      </c>
      <c r="U9" s="23">
        <v>483</v>
      </c>
      <c r="V9" s="57">
        <f>+R9+S9+T9+U9</f>
        <v>2155</v>
      </c>
      <c r="X9" s="57">
        <v>429</v>
      </c>
      <c r="Y9" s="23">
        <v>412</v>
      </c>
      <c r="Z9" s="23">
        <v>870</v>
      </c>
      <c r="AA9" s="23">
        <v>826</v>
      </c>
      <c r="AB9" s="57">
        <f>+X9+Y9+Z9+AA9</f>
        <v>2537</v>
      </c>
      <c r="AD9" s="57">
        <v>814</v>
      </c>
      <c r="AE9" s="23">
        <v>702</v>
      </c>
      <c r="AF9" s="23">
        <v>0</v>
      </c>
      <c r="AG9" s="23">
        <v>0</v>
      </c>
      <c r="AH9" s="57">
        <f>+AD9+AE9+AF9+AG9</f>
        <v>1516</v>
      </c>
    </row>
    <row r="10" spans="1:34" x14ac:dyDescent="0.2">
      <c r="B10" s="37" t="s">
        <v>56</v>
      </c>
      <c r="C10" s="7"/>
      <c r="E10" s="7"/>
      <c r="F10" s="9">
        <v>-213</v>
      </c>
      <c r="G10" s="9">
        <v>-265</v>
      </c>
      <c r="H10" s="9">
        <v>-125</v>
      </c>
      <c r="I10" s="9">
        <v>-73</v>
      </c>
      <c r="J10" s="9">
        <f t="shared" ref="J10:J13" si="0">+F10+G10+H10+I10</f>
        <v>-676</v>
      </c>
      <c r="K10" s="9"/>
      <c r="L10" s="9">
        <v>-562</v>
      </c>
      <c r="M10" s="9">
        <v>-100</v>
      </c>
      <c r="N10" s="9">
        <v>243</v>
      </c>
      <c r="O10" s="9">
        <v>-132</v>
      </c>
      <c r="P10" s="9">
        <f t="shared" ref="P10:P13" si="1">+L10+M10+N10+O10</f>
        <v>-551</v>
      </c>
      <c r="R10" s="9">
        <v>42</v>
      </c>
      <c r="S10" s="9">
        <v>31</v>
      </c>
      <c r="T10" s="9">
        <v>-204</v>
      </c>
      <c r="U10" s="9">
        <v>119</v>
      </c>
      <c r="V10" s="9">
        <f t="shared" ref="V10:V13" si="2">+R10+S10+T10+U10</f>
        <v>-12</v>
      </c>
      <c r="X10" s="9">
        <v>-71</v>
      </c>
      <c r="Y10" s="9">
        <v>5</v>
      </c>
      <c r="Z10" s="9">
        <v>356</v>
      </c>
      <c r="AA10" s="9">
        <v>-49</v>
      </c>
      <c r="AB10" s="9">
        <f t="shared" ref="AB10:AB13" si="3">+X10+Y10+Z10+AA10</f>
        <v>241</v>
      </c>
      <c r="AD10" s="9">
        <v>6</v>
      </c>
      <c r="AE10" s="9">
        <v>157</v>
      </c>
      <c r="AF10" s="9">
        <v>0</v>
      </c>
      <c r="AG10" s="9">
        <v>0</v>
      </c>
      <c r="AH10" s="9">
        <f t="shared" ref="AH10:AH13" si="4">+AD10+AE10+AF10+AG10</f>
        <v>163</v>
      </c>
    </row>
    <row r="11" spans="1:34" ht="14.25" x14ac:dyDescent="0.2">
      <c r="B11" s="37" t="s">
        <v>88</v>
      </c>
      <c r="C11" s="7"/>
      <c r="E11" s="7"/>
      <c r="F11" s="9">
        <v>98</v>
      </c>
      <c r="G11" s="9">
        <v>48</v>
      </c>
      <c r="H11" s="9">
        <v>95</v>
      </c>
      <c r="I11" s="9">
        <v>71</v>
      </c>
      <c r="J11" s="9">
        <f t="shared" si="0"/>
        <v>312</v>
      </c>
      <c r="K11" s="9"/>
      <c r="L11" s="9">
        <f>32+18</f>
        <v>50</v>
      </c>
      <c r="M11" s="9">
        <v>75</v>
      </c>
      <c r="N11" s="9">
        <f>113-4</f>
        <v>109</v>
      </c>
      <c r="O11" s="9">
        <f>94+3</f>
        <v>97</v>
      </c>
      <c r="P11" s="9">
        <f t="shared" si="1"/>
        <v>331</v>
      </c>
      <c r="R11" s="9">
        <f>184+3</f>
        <v>187</v>
      </c>
      <c r="S11" s="9">
        <v>72</v>
      </c>
      <c r="T11" s="9">
        <f>78-1</f>
        <v>77</v>
      </c>
      <c r="U11" s="9">
        <f>67+4</f>
        <v>71</v>
      </c>
      <c r="V11" s="9">
        <f t="shared" si="2"/>
        <v>407</v>
      </c>
      <c r="X11" s="9">
        <v>74</v>
      </c>
      <c r="Y11" s="9">
        <v>51</v>
      </c>
      <c r="Z11" s="9">
        <v>51</v>
      </c>
      <c r="AA11" s="9">
        <v>59</v>
      </c>
      <c r="AB11" s="9">
        <f t="shared" si="3"/>
        <v>235</v>
      </c>
      <c r="AD11" s="9">
        <v>64</v>
      </c>
      <c r="AE11" s="9">
        <v>56</v>
      </c>
      <c r="AF11" s="9">
        <v>0</v>
      </c>
      <c r="AG11" s="9">
        <v>0</v>
      </c>
      <c r="AH11" s="9">
        <f t="shared" si="4"/>
        <v>120</v>
      </c>
    </row>
    <row r="12" spans="1:34" x14ac:dyDescent="0.2">
      <c r="B12" s="37" t="s">
        <v>43</v>
      </c>
      <c r="C12" s="7"/>
      <c r="E12" s="7"/>
      <c r="F12" s="9">
        <v>33</v>
      </c>
      <c r="G12" s="9">
        <v>33</v>
      </c>
      <c r="H12" s="9">
        <v>65</v>
      </c>
      <c r="I12" s="9">
        <v>41</v>
      </c>
      <c r="J12" s="9">
        <f t="shared" si="0"/>
        <v>172</v>
      </c>
      <c r="K12" s="9"/>
      <c r="L12" s="9">
        <v>34</v>
      </c>
      <c r="M12" s="9">
        <v>49</v>
      </c>
      <c r="N12" s="9">
        <v>88</v>
      </c>
      <c r="O12" s="9">
        <v>90</v>
      </c>
      <c r="P12" s="9">
        <f t="shared" si="1"/>
        <v>261</v>
      </c>
      <c r="R12" s="9">
        <v>68</v>
      </c>
      <c r="S12" s="9">
        <v>34</v>
      </c>
      <c r="T12" s="9">
        <v>67</v>
      </c>
      <c r="U12" s="9">
        <v>42</v>
      </c>
      <c r="V12" s="9">
        <f t="shared" si="2"/>
        <v>211</v>
      </c>
      <c r="X12" s="9">
        <v>15</v>
      </c>
      <c r="Y12" s="9">
        <v>36</v>
      </c>
      <c r="Z12" s="9">
        <v>69</v>
      </c>
      <c r="AA12" s="9">
        <v>39</v>
      </c>
      <c r="AB12" s="9">
        <f t="shared" si="3"/>
        <v>159</v>
      </c>
      <c r="AD12" s="9">
        <v>22</v>
      </c>
      <c r="AE12" s="9">
        <v>58</v>
      </c>
      <c r="AF12" s="9">
        <v>0</v>
      </c>
      <c r="AG12" s="9">
        <v>0</v>
      </c>
      <c r="AH12" s="9">
        <f t="shared" si="4"/>
        <v>80</v>
      </c>
    </row>
    <row r="13" spans="1:34" x14ac:dyDescent="0.2">
      <c r="B13" s="37" t="s">
        <v>87</v>
      </c>
      <c r="C13" s="7"/>
      <c r="E13" s="7"/>
      <c r="F13" s="51">
        <v>13</v>
      </c>
      <c r="G13" s="9">
        <v>10</v>
      </c>
      <c r="H13" s="9">
        <v>4</v>
      </c>
      <c r="I13" s="9">
        <v>6</v>
      </c>
      <c r="J13" s="51">
        <f t="shared" si="0"/>
        <v>33</v>
      </c>
      <c r="K13" s="51"/>
      <c r="L13" s="51">
        <f>21-18</f>
        <v>3</v>
      </c>
      <c r="M13" s="9">
        <v>5</v>
      </c>
      <c r="N13" s="9">
        <f>1+4</f>
        <v>5</v>
      </c>
      <c r="O13" s="9">
        <f>13-3</f>
        <v>10</v>
      </c>
      <c r="P13" s="51">
        <f t="shared" si="1"/>
        <v>23</v>
      </c>
      <c r="R13" s="51">
        <f>15-3</f>
        <v>12</v>
      </c>
      <c r="S13" s="9">
        <v>7</v>
      </c>
      <c r="T13" s="9">
        <f>9+1</f>
        <v>10</v>
      </c>
      <c r="U13" s="9">
        <f>15-4</f>
        <v>11</v>
      </c>
      <c r="V13" s="51">
        <f t="shared" si="2"/>
        <v>40</v>
      </c>
      <c r="X13" s="51">
        <v>7</v>
      </c>
      <c r="Y13" s="9">
        <v>10</v>
      </c>
      <c r="Z13" s="9">
        <v>7</v>
      </c>
      <c r="AA13" s="9">
        <v>2</v>
      </c>
      <c r="AB13" s="51">
        <f t="shared" si="3"/>
        <v>26</v>
      </c>
      <c r="AD13" s="51">
        <v>6</v>
      </c>
      <c r="AE13" s="9">
        <v>5</v>
      </c>
      <c r="AF13" s="9">
        <v>0</v>
      </c>
      <c r="AG13" s="9">
        <v>0</v>
      </c>
      <c r="AH13" s="51">
        <f t="shared" si="4"/>
        <v>11</v>
      </c>
    </row>
    <row r="14" spans="1:34" x14ac:dyDescent="0.2">
      <c r="B14" s="6" t="s">
        <v>76</v>
      </c>
      <c r="C14" s="7"/>
      <c r="E14" s="7"/>
      <c r="F14" s="58">
        <f>SUM(F9:F13)</f>
        <v>363</v>
      </c>
      <c r="G14" s="58">
        <f>SUM(G9:G13)</f>
        <v>304</v>
      </c>
      <c r="H14" s="58">
        <f>SUM(H9:H13)</f>
        <v>588</v>
      </c>
      <c r="I14" s="58">
        <f>SUM(I9:I13)</f>
        <v>634</v>
      </c>
      <c r="J14" s="58">
        <f>SUM(J9:J13)</f>
        <v>1889</v>
      </c>
      <c r="K14" s="65"/>
      <c r="L14" s="58">
        <f>SUM(L9:L13)</f>
        <v>153</v>
      </c>
      <c r="M14" s="58">
        <f>SUM(M9:M13)</f>
        <v>747</v>
      </c>
      <c r="N14" s="58">
        <f>SUM(N9:N13)</f>
        <v>1125</v>
      </c>
      <c r="O14" s="58">
        <f>SUM(O9:O13)</f>
        <v>682</v>
      </c>
      <c r="P14" s="58">
        <f>SUM(P9:P13)</f>
        <v>2707</v>
      </c>
      <c r="R14" s="58">
        <f>SUM(R9:R13)</f>
        <v>1024</v>
      </c>
      <c r="S14" s="58">
        <f>SUM(S9:S13)</f>
        <v>591</v>
      </c>
      <c r="T14" s="58">
        <f>SUM(T9:T13)</f>
        <v>460</v>
      </c>
      <c r="U14" s="58">
        <f>SUM(U9:U13)</f>
        <v>726</v>
      </c>
      <c r="V14" s="58">
        <f>SUM(V9:V13)</f>
        <v>2801</v>
      </c>
      <c r="X14" s="58">
        <f>SUM(X9:X13)</f>
        <v>454</v>
      </c>
      <c r="Y14" s="58">
        <f>SUM(Y9:Y13)</f>
        <v>514</v>
      </c>
      <c r="Z14" s="58">
        <f>SUM(Z9:Z13)</f>
        <v>1353</v>
      </c>
      <c r="AA14" s="58">
        <f>SUM(AA9:AA13)</f>
        <v>877</v>
      </c>
      <c r="AB14" s="58">
        <f>SUM(AB9:AB13)</f>
        <v>3198</v>
      </c>
      <c r="AD14" s="58">
        <f>SUM(AD9:AD13)</f>
        <v>912</v>
      </c>
      <c r="AE14" s="58">
        <f>SUM(AE9:AE13)</f>
        <v>978</v>
      </c>
      <c r="AF14" s="58">
        <f>SUM(AF9:AF13)</f>
        <v>0</v>
      </c>
      <c r="AG14" s="58">
        <f>SUM(AG9:AG13)</f>
        <v>0</v>
      </c>
      <c r="AH14" s="58">
        <f>SUM(AH9:AH13)</f>
        <v>1890</v>
      </c>
    </row>
    <row r="15" spans="1:34" ht="12.6" customHeight="1" x14ac:dyDescent="0.2">
      <c r="B15" s="6"/>
      <c r="C15" s="7"/>
      <c r="E15" s="7"/>
      <c r="F15" s="23"/>
      <c r="G15" s="23"/>
      <c r="H15" s="23"/>
      <c r="I15" s="23"/>
      <c r="J15" s="57"/>
      <c r="K15" s="57"/>
      <c r="L15" s="23"/>
      <c r="M15" s="23"/>
      <c r="N15" s="23"/>
      <c r="O15" s="23"/>
      <c r="P15" s="57"/>
      <c r="R15" s="23"/>
      <c r="S15" s="23"/>
      <c r="T15" s="23"/>
      <c r="U15" s="23"/>
      <c r="V15" s="57"/>
      <c r="X15" s="23"/>
      <c r="Y15" s="23"/>
      <c r="Z15" s="23"/>
      <c r="AA15" s="23"/>
      <c r="AB15" s="57"/>
      <c r="AD15" s="23"/>
      <c r="AE15" s="23"/>
      <c r="AF15" s="23"/>
      <c r="AG15" s="23"/>
      <c r="AH15" s="57"/>
    </row>
    <row r="16" spans="1:34" x14ac:dyDescent="0.2">
      <c r="B16" s="1" t="s">
        <v>51</v>
      </c>
      <c r="C16" s="7"/>
      <c r="E16" s="7"/>
      <c r="F16" s="23"/>
      <c r="G16" s="23"/>
      <c r="H16" s="23"/>
      <c r="I16" s="23"/>
      <c r="J16" s="57"/>
      <c r="K16" s="57"/>
      <c r="L16" s="23"/>
      <c r="M16" s="23"/>
      <c r="N16" s="23"/>
      <c r="O16" s="23"/>
      <c r="P16" s="57"/>
      <c r="R16" s="23"/>
      <c r="S16" s="23"/>
      <c r="T16" s="23"/>
      <c r="U16" s="23"/>
      <c r="V16" s="57"/>
      <c r="X16" s="23"/>
      <c r="Y16" s="23"/>
      <c r="Z16" s="23"/>
      <c r="AA16" s="23"/>
      <c r="AB16" s="57"/>
      <c r="AD16" s="23"/>
      <c r="AE16" s="23"/>
      <c r="AF16" s="23"/>
      <c r="AG16" s="23"/>
      <c r="AH16" s="57"/>
    </row>
    <row r="17" spans="2:34" x14ac:dyDescent="0.2">
      <c r="B17" s="37" t="s">
        <v>48</v>
      </c>
      <c r="C17" s="7"/>
      <c r="E17" s="7"/>
      <c r="F17" s="9">
        <v>164</v>
      </c>
      <c r="G17" s="9">
        <v>169</v>
      </c>
      <c r="H17" s="9">
        <v>190</v>
      </c>
      <c r="I17" s="9">
        <v>182</v>
      </c>
      <c r="J17" s="51">
        <f t="shared" ref="J17:J29" si="5">+F17+G17+H17+I17</f>
        <v>705</v>
      </c>
      <c r="K17" s="51"/>
      <c r="L17" s="9">
        <v>182</v>
      </c>
      <c r="M17" s="9">
        <v>190</v>
      </c>
      <c r="N17" s="9">
        <v>214</v>
      </c>
      <c r="O17" s="9">
        <v>199</v>
      </c>
      <c r="P17" s="51">
        <f t="shared" ref="P17:P29" si="6">+L17+M17+N17+O17</f>
        <v>785</v>
      </c>
      <c r="R17" s="9">
        <v>254</v>
      </c>
      <c r="S17" s="9">
        <v>186</v>
      </c>
      <c r="T17" s="9">
        <v>196</v>
      </c>
      <c r="U17" s="9">
        <v>186</v>
      </c>
      <c r="V17" s="51">
        <f t="shared" ref="V17:V29" si="7">+R17+S17+T17+U17</f>
        <v>822</v>
      </c>
      <c r="X17" s="9">
        <v>176</v>
      </c>
      <c r="Y17" s="9">
        <v>156</v>
      </c>
      <c r="Z17" s="9">
        <v>311</v>
      </c>
      <c r="AA17" s="9">
        <v>323</v>
      </c>
      <c r="AB17" s="51">
        <f t="shared" ref="AB17:AB29" si="8">+X17+Y17+Z17+AA17</f>
        <v>966</v>
      </c>
      <c r="AD17" s="9">
        <v>316</v>
      </c>
      <c r="AE17" s="9">
        <v>295</v>
      </c>
      <c r="AF17" s="9">
        <v>0</v>
      </c>
      <c r="AG17" s="9">
        <v>0</v>
      </c>
      <c r="AH17" s="51">
        <f t="shared" ref="AH17:AH29" si="9">+AD17+AE17+AF17+AG17</f>
        <v>611</v>
      </c>
    </row>
    <row r="18" spans="2:34" x14ac:dyDescent="0.2">
      <c r="B18" s="37" t="s">
        <v>70</v>
      </c>
      <c r="C18" s="7"/>
      <c r="E18" s="7"/>
      <c r="F18" s="9">
        <v>48</v>
      </c>
      <c r="G18" s="9">
        <v>48</v>
      </c>
      <c r="H18" s="9">
        <v>51</v>
      </c>
      <c r="I18" s="9">
        <v>53</v>
      </c>
      <c r="J18" s="51">
        <f t="shared" si="5"/>
        <v>200</v>
      </c>
      <c r="K18" s="51"/>
      <c r="L18" s="9">
        <v>48</v>
      </c>
      <c r="M18" s="9">
        <v>56</v>
      </c>
      <c r="N18" s="9">
        <v>59</v>
      </c>
      <c r="O18" s="9">
        <v>59</v>
      </c>
      <c r="P18" s="51">
        <f t="shared" si="6"/>
        <v>222</v>
      </c>
      <c r="R18" s="9">
        <v>65</v>
      </c>
      <c r="S18" s="9">
        <v>71</v>
      </c>
      <c r="T18" s="9">
        <v>65</v>
      </c>
      <c r="U18" s="9">
        <v>66</v>
      </c>
      <c r="V18" s="51">
        <f t="shared" si="7"/>
        <v>267</v>
      </c>
      <c r="X18" s="9">
        <v>57</v>
      </c>
      <c r="Y18" s="9">
        <v>63</v>
      </c>
      <c r="Z18" s="9">
        <v>106</v>
      </c>
      <c r="AA18" s="9">
        <v>95</v>
      </c>
      <c r="AB18" s="51">
        <f t="shared" si="8"/>
        <v>321</v>
      </c>
      <c r="AD18" s="9">
        <v>72</v>
      </c>
      <c r="AE18" s="9">
        <v>79</v>
      </c>
      <c r="AF18" s="9">
        <v>0</v>
      </c>
      <c r="AG18" s="9">
        <v>0</v>
      </c>
      <c r="AH18" s="51">
        <f t="shared" si="9"/>
        <v>151</v>
      </c>
    </row>
    <row r="19" spans="2:34" x14ac:dyDescent="0.2">
      <c r="B19" s="37" t="s">
        <v>20</v>
      </c>
      <c r="C19" s="7"/>
      <c r="E19" s="7"/>
      <c r="F19" s="9">
        <v>52</v>
      </c>
      <c r="G19" s="9">
        <v>54</v>
      </c>
      <c r="H19" s="9">
        <v>54</v>
      </c>
      <c r="I19" s="9">
        <v>53</v>
      </c>
      <c r="J19" s="51">
        <f t="shared" si="5"/>
        <v>213</v>
      </c>
      <c r="K19" s="51"/>
      <c r="L19" s="9">
        <v>49</v>
      </c>
      <c r="M19" s="9">
        <v>50</v>
      </c>
      <c r="N19" s="9">
        <v>50</v>
      </c>
      <c r="O19" s="9">
        <v>49</v>
      </c>
      <c r="P19" s="51">
        <f t="shared" si="6"/>
        <v>198</v>
      </c>
      <c r="R19" s="9">
        <v>58</v>
      </c>
      <c r="S19" s="9">
        <v>56</v>
      </c>
      <c r="T19" s="9">
        <v>56</v>
      </c>
      <c r="U19" s="9">
        <v>55</v>
      </c>
      <c r="V19" s="51">
        <f t="shared" si="7"/>
        <v>225</v>
      </c>
      <c r="X19" s="9">
        <v>53</v>
      </c>
      <c r="Y19" s="9">
        <v>53</v>
      </c>
      <c r="Z19" s="9">
        <v>140</v>
      </c>
      <c r="AA19" s="9">
        <v>142</v>
      </c>
      <c r="AB19" s="51">
        <f t="shared" si="8"/>
        <v>388</v>
      </c>
      <c r="AD19" s="9">
        <v>131</v>
      </c>
      <c r="AE19" s="9">
        <v>128</v>
      </c>
      <c r="AF19" s="9">
        <v>0</v>
      </c>
      <c r="AG19" s="9">
        <v>0</v>
      </c>
      <c r="AH19" s="51">
        <f t="shared" si="9"/>
        <v>259</v>
      </c>
    </row>
    <row r="20" spans="2:34" x14ac:dyDescent="0.2">
      <c r="B20" s="37" t="s">
        <v>21</v>
      </c>
      <c r="C20" s="7"/>
      <c r="E20" s="7"/>
      <c r="F20" s="9">
        <v>3</v>
      </c>
      <c r="G20" s="9">
        <v>0</v>
      </c>
      <c r="H20" s="9">
        <v>25</v>
      </c>
      <c r="I20" s="9">
        <v>0</v>
      </c>
      <c r="J20" s="51">
        <f t="shared" si="5"/>
        <v>28</v>
      </c>
      <c r="K20" s="51"/>
      <c r="L20" s="9">
        <v>0</v>
      </c>
      <c r="M20" s="9">
        <v>2</v>
      </c>
      <c r="N20" s="9">
        <v>0</v>
      </c>
      <c r="O20" s="9">
        <v>0</v>
      </c>
      <c r="P20" s="51">
        <f t="shared" si="6"/>
        <v>2</v>
      </c>
      <c r="R20" s="9">
        <v>3</v>
      </c>
      <c r="S20" s="9">
        <v>0</v>
      </c>
      <c r="T20" s="9">
        <v>0</v>
      </c>
      <c r="U20" s="9">
        <v>0</v>
      </c>
      <c r="V20" s="51">
        <f t="shared" si="7"/>
        <v>3</v>
      </c>
      <c r="X20" s="9">
        <v>0</v>
      </c>
      <c r="Y20" s="9">
        <v>13</v>
      </c>
      <c r="Z20" s="9">
        <v>0</v>
      </c>
      <c r="AA20" s="9">
        <v>1</v>
      </c>
      <c r="AB20" s="51">
        <f t="shared" si="8"/>
        <v>14</v>
      </c>
      <c r="AD20" s="9">
        <v>0</v>
      </c>
      <c r="AE20" s="9">
        <v>0</v>
      </c>
      <c r="AF20" s="9">
        <v>0</v>
      </c>
      <c r="AG20" s="9">
        <v>0</v>
      </c>
      <c r="AH20" s="51">
        <f t="shared" si="9"/>
        <v>0</v>
      </c>
    </row>
    <row r="21" spans="2:34" x14ac:dyDescent="0.2">
      <c r="B21" s="37" t="s">
        <v>22</v>
      </c>
      <c r="C21" s="7"/>
      <c r="E21" s="7"/>
      <c r="F21" s="9">
        <v>40</v>
      </c>
      <c r="G21" s="9">
        <v>37</v>
      </c>
      <c r="H21" s="9">
        <v>36</v>
      </c>
      <c r="I21" s="9">
        <v>32</v>
      </c>
      <c r="J21" s="9">
        <f t="shared" si="5"/>
        <v>145</v>
      </c>
      <c r="K21" s="9"/>
      <c r="L21" s="9">
        <v>34</v>
      </c>
      <c r="M21" s="9">
        <v>42</v>
      </c>
      <c r="N21" s="9">
        <v>44</v>
      </c>
      <c r="O21" s="9">
        <v>42</v>
      </c>
      <c r="P21" s="9">
        <f t="shared" si="6"/>
        <v>162</v>
      </c>
      <c r="R21" s="9">
        <v>42</v>
      </c>
      <c r="S21" s="9">
        <v>42</v>
      </c>
      <c r="T21" s="9">
        <v>48</v>
      </c>
      <c r="U21" s="9">
        <v>33</v>
      </c>
      <c r="V21" s="9">
        <f t="shared" si="7"/>
        <v>165</v>
      </c>
      <c r="X21" s="9">
        <v>38</v>
      </c>
      <c r="Y21" s="9">
        <v>39</v>
      </c>
      <c r="Z21" s="9">
        <v>85</v>
      </c>
      <c r="AA21" s="9">
        <v>80</v>
      </c>
      <c r="AB21" s="9">
        <f t="shared" si="8"/>
        <v>242</v>
      </c>
      <c r="AD21" s="9">
        <v>70</v>
      </c>
      <c r="AE21" s="9">
        <v>47</v>
      </c>
      <c r="AF21" s="9">
        <v>0</v>
      </c>
      <c r="AG21" s="9">
        <v>0</v>
      </c>
      <c r="AH21" s="9">
        <f t="shared" si="9"/>
        <v>117</v>
      </c>
    </row>
    <row r="22" spans="2:34" x14ac:dyDescent="0.2">
      <c r="B22" s="37" t="s">
        <v>102</v>
      </c>
      <c r="C22" s="7"/>
      <c r="E22" s="7"/>
      <c r="F22" s="9">
        <v>0</v>
      </c>
      <c r="G22" s="9">
        <v>0</v>
      </c>
      <c r="H22" s="9">
        <v>0</v>
      </c>
      <c r="I22" s="9">
        <v>0</v>
      </c>
      <c r="J22" s="9">
        <f t="shared" si="5"/>
        <v>0</v>
      </c>
      <c r="K22" s="9"/>
      <c r="L22" s="9">
        <v>0</v>
      </c>
      <c r="M22" s="9">
        <v>0</v>
      </c>
      <c r="N22" s="9">
        <v>0</v>
      </c>
      <c r="O22" s="9">
        <v>0</v>
      </c>
      <c r="P22" s="9">
        <f t="shared" si="6"/>
        <v>0</v>
      </c>
      <c r="R22" s="9">
        <v>0</v>
      </c>
      <c r="S22" s="9">
        <v>0</v>
      </c>
      <c r="T22" s="9">
        <v>0</v>
      </c>
      <c r="U22" s="9">
        <f>8</f>
        <v>8</v>
      </c>
      <c r="V22" s="9">
        <f t="shared" si="7"/>
        <v>8</v>
      </c>
      <c r="X22" s="9">
        <f>1</f>
        <v>1</v>
      </c>
      <c r="Y22" s="9">
        <f>1</f>
        <v>1</v>
      </c>
      <c r="Z22" s="9">
        <f>9</f>
        <v>9</v>
      </c>
      <c r="AA22" s="9">
        <f>19</f>
        <v>19</v>
      </c>
      <c r="AB22" s="9">
        <f t="shared" si="8"/>
        <v>30</v>
      </c>
      <c r="AD22" s="9">
        <v>-6</v>
      </c>
      <c r="AE22" s="9">
        <v>3</v>
      </c>
      <c r="AF22" s="9">
        <v>0</v>
      </c>
      <c r="AG22" s="9">
        <v>0</v>
      </c>
      <c r="AH22" s="9">
        <f t="shared" si="9"/>
        <v>-3</v>
      </c>
    </row>
    <row r="23" spans="2:34" ht="14.25" x14ac:dyDescent="0.2">
      <c r="B23" s="37" t="s">
        <v>89</v>
      </c>
      <c r="C23" s="7"/>
      <c r="E23" s="7"/>
      <c r="F23" s="9">
        <v>61</v>
      </c>
      <c r="G23" s="9">
        <v>30</v>
      </c>
      <c r="H23" s="9">
        <v>53</v>
      </c>
      <c r="I23" s="9">
        <v>52</v>
      </c>
      <c r="J23" s="9">
        <f t="shared" si="5"/>
        <v>196</v>
      </c>
      <c r="K23" s="9"/>
      <c r="L23" s="9">
        <f>21+16</f>
        <v>37</v>
      </c>
      <c r="M23" s="9">
        <v>67</v>
      </c>
      <c r="N23" s="9">
        <f>98-3</f>
        <v>95</v>
      </c>
      <c r="O23" s="9">
        <f>87-1</f>
        <v>86</v>
      </c>
      <c r="P23" s="9">
        <f t="shared" si="6"/>
        <v>285</v>
      </c>
      <c r="R23" s="9">
        <v>124</v>
      </c>
      <c r="S23" s="9">
        <v>27</v>
      </c>
      <c r="T23" s="9">
        <v>31</v>
      </c>
      <c r="U23" s="9">
        <f>39+3</f>
        <v>42</v>
      </c>
      <c r="V23" s="9">
        <f t="shared" si="7"/>
        <v>224</v>
      </c>
      <c r="X23" s="9">
        <v>54</v>
      </c>
      <c r="Y23" s="9">
        <v>43</v>
      </c>
      <c r="Z23" s="9">
        <v>43</v>
      </c>
      <c r="AA23" s="9">
        <v>53</v>
      </c>
      <c r="AB23" s="9">
        <f t="shared" si="8"/>
        <v>193</v>
      </c>
      <c r="AD23" s="9">
        <v>50</v>
      </c>
      <c r="AE23" s="9">
        <v>41</v>
      </c>
      <c r="AF23" s="9">
        <v>0</v>
      </c>
      <c r="AG23" s="9">
        <v>0</v>
      </c>
      <c r="AH23" s="9">
        <f t="shared" si="9"/>
        <v>91</v>
      </c>
    </row>
    <row r="24" spans="2:34" x14ac:dyDescent="0.2">
      <c r="B24" s="37" t="s">
        <v>52</v>
      </c>
      <c r="C24" s="7"/>
      <c r="E24" s="7"/>
      <c r="F24" s="9">
        <v>24</v>
      </c>
      <c r="G24" s="9">
        <v>17</v>
      </c>
      <c r="H24" s="9">
        <v>29</v>
      </c>
      <c r="I24" s="9">
        <v>26</v>
      </c>
      <c r="J24" s="9">
        <f t="shared" si="5"/>
        <v>96</v>
      </c>
      <c r="K24" s="9"/>
      <c r="L24" s="9">
        <v>24</v>
      </c>
      <c r="M24" s="9">
        <v>33</v>
      </c>
      <c r="N24" s="9">
        <v>42</v>
      </c>
      <c r="O24" s="9">
        <v>68</v>
      </c>
      <c r="P24" s="9">
        <f t="shared" si="6"/>
        <v>167</v>
      </c>
      <c r="R24" s="9">
        <v>49</v>
      </c>
      <c r="S24" s="9">
        <v>13</v>
      </c>
      <c r="T24" s="9">
        <v>23</v>
      </c>
      <c r="U24" s="9">
        <v>18</v>
      </c>
      <c r="V24" s="9">
        <f t="shared" si="7"/>
        <v>103</v>
      </c>
      <c r="X24" s="9">
        <v>8</v>
      </c>
      <c r="Y24" s="9">
        <v>14</v>
      </c>
      <c r="Z24" s="9">
        <v>9</v>
      </c>
      <c r="AA24" s="9">
        <v>9</v>
      </c>
      <c r="AB24" s="9">
        <f t="shared" si="8"/>
        <v>40</v>
      </c>
      <c r="AD24" s="9">
        <v>10</v>
      </c>
      <c r="AE24" s="9">
        <v>5</v>
      </c>
      <c r="AF24" s="9">
        <v>0</v>
      </c>
      <c r="AG24" s="9">
        <v>0</v>
      </c>
      <c r="AH24" s="9">
        <f t="shared" si="9"/>
        <v>15</v>
      </c>
    </row>
    <row r="25" spans="2:34" x14ac:dyDescent="0.2">
      <c r="B25" s="37" t="s">
        <v>77</v>
      </c>
      <c r="C25" s="7"/>
      <c r="E25" s="7"/>
      <c r="F25" s="9">
        <v>12</v>
      </c>
      <c r="G25" s="9">
        <v>14</v>
      </c>
      <c r="H25" s="9">
        <v>11</v>
      </c>
      <c r="I25" s="9">
        <v>14</v>
      </c>
      <c r="J25" s="9">
        <f t="shared" si="5"/>
        <v>51</v>
      </c>
      <c r="K25" s="9"/>
      <c r="L25" s="9">
        <v>12</v>
      </c>
      <c r="M25" s="9">
        <v>12</v>
      </c>
      <c r="N25" s="9">
        <v>13</v>
      </c>
      <c r="O25" s="9">
        <v>13</v>
      </c>
      <c r="P25" s="9">
        <f t="shared" si="6"/>
        <v>50</v>
      </c>
      <c r="R25" s="9">
        <v>17</v>
      </c>
      <c r="S25" s="9">
        <v>16</v>
      </c>
      <c r="T25" s="9">
        <v>16</v>
      </c>
      <c r="U25" s="9">
        <v>18</v>
      </c>
      <c r="V25" s="9">
        <f t="shared" si="7"/>
        <v>67</v>
      </c>
      <c r="X25" s="9">
        <v>20</v>
      </c>
      <c r="Y25" s="9">
        <v>17</v>
      </c>
      <c r="Z25" s="9">
        <v>23</v>
      </c>
      <c r="AA25" s="9">
        <v>21</v>
      </c>
      <c r="AB25" s="9">
        <f t="shared" si="8"/>
        <v>81</v>
      </c>
      <c r="AD25" s="9">
        <v>20</v>
      </c>
      <c r="AE25" s="9">
        <v>20</v>
      </c>
      <c r="AF25" s="9">
        <v>0</v>
      </c>
      <c r="AG25" s="9">
        <v>0</v>
      </c>
      <c r="AH25" s="9">
        <f t="shared" si="9"/>
        <v>40</v>
      </c>
    </row>
    <row r="26" spans="2:34" x14ac:dyDescent="0.2">
      <c r="B26" s="37" t="s">
        <v>53</v>
      </c>
      <c r="C26" s="7"/>
      <c r="E26" s="7"/>
      <c r="F26" s="9">
        <v>13</v>
      </c>
      <c r="G26" s="9">
        <v>13</v>
      </c>
      <c r="H26" s="9">
        <v>13</v>
      </c>
      <c r="I26" s="9">
        <v>11</v>
      </c>
      <c r="J26" s="9">
        <f t="shared" si="5"/>
        <v>50</v>
      </c>
      <c r="K26" s="9"/>
      <c r="L26" s="9">
        <v>11</v>
      </c>
      <c r="M26" s="9">
        <v>11</v>
      </c>
      <c r="N26" s="9">
        <v>10</v>
      </c>
      <c r="O26" s="9">
        <v>11</v>
      </c>
      <c r="P26" s="9">
        <f t="shared" si="6"/>
        <v>43</v>
      </c>
      <c r="R26" s="9">
        <v>12</v>
      </c>
      <c r="S26" s="9">
        <v>11</v>
      </c>
      <c r="T26" s="9">
        <v>12</v>
      </c>
      <c r="U26" s="9">
        <v>11</v>
      </c>
      <c r="V26" s="9">
        <f t="shared" si="7"/>
        <v>46</v>
      </c>
      <c r="X26" s="9">
        <v>12</v>
      </c>
      <c r="Y26" s="9">
        <v>13</v>
      </c>
      <c r="Z26" s="9">
        <v>31</v>
      </c>
      <c r="AA26" s="9">
        <v>31</v>
      </c>
      <c r="AB26" s="9">
        <f t="shared" si="8"/>
        <v>87</v>
      </c>
      <c r="AD26" s="9">
        <v>29</v>
      </c>
      <c r="AE26" s="9">
        <v>28</v>
      </c>
      <c r="AF26" s="9">
        <v>0</v>
      </c>
      <c r="AG26" s="9">
        <v>0</v>
      </c>
      <c r="AH26" s="9">
        <f t="shared" si="9"/>
        <v>57</v>
      </c>
    </row>
    <row r="27" spans="2:34" x14ac:dyDescent="0.2">
      <c r="B27" s="37" t="s">
        <v>80</v>
      </c>
      <c r="C27" s="7"/>
      <c r="E27" s="7"/>
      <c r="F27" s="9">
        <v>0</v>
      </c>
      <c r="G27" s="9">
        <v>0</v>
      </c>
      <c r="H27" s="9">
        <v>0</v>
      </c>
      <c r="I27" s="9">
        <v>0</v>
      </c>
      <c r="J27" s="9">
        <f t="shared" si="5"/>
        <v>0</v>
      </c>
      <c r="K27" s="9"/>
      <c r="L27" s="9">
        <v>0</v>
      </c>
      <c r="M27" s="9">
        <f>2</f>
        <v>2</v>
      </c>
      <c r="N27" s="9">
        <f>1</f>
        <v>1</v>
      </c>
      <c r="O27" s="9">
        <v>11</v>
      </c>
      <c r="P27" s="9">
        <f t="shared" si="6"/>
        <v>14</v>
      </c>
      <c r="R27" s="9">
        <v>5</v>
      </c>
      <c r="S27" s="9">
        <f>8</f>
        <v>8</v>
      </c>
      <c r="T27" s="9">
        <f>7</f>
        <v>7</v>
      </c>
      <c r="U27" s="9">
        <v>17</v>
      </c>
      <c r="V27" s="9">
        <f t="shared" si="7"/>
        <v>37</v>
      </c>
      <c r="X27" s="9">
        <v>8</v>
      </c>
      <c r="Y27" s="9">
        <v>15</v>
      </c>
      <c r="Z27" s="9">
        <v>13</v>
      </c>
      <c r="AA27" s="9">
        <v>20</v>
      </c>
      <c r="AB27" s="9">
        <f t="shared" si="8"/>
        <v>56</v>
      </c>
      <c r="AD27" s="9">
        <v>18</v>
      </c>
      <c r="AE27" s="9">
        <v>14</v>
      </c>
      <c r="AF27" s="9">
        <v>0</v>
      </c>
      <c r="AG27" s="9">
        <v>0</v>
      </c>
      <c r="AH27" s="9">
        <f t="shared" si="9"/>
        <v>32</v>
      </c>
    </row>
    <row r="28" spans="2:34" x14ac:dyDescent="0.2">
      <c r="B28" s="37" t="s">
        <v>96</v>
      </c>
      <c r="C28" s="7"/>
      <c r="E28" s="7"/>
      <c r="F28" s="9">
        <v>0</v>
      </c>
      <c r="G28" s="9">
        <v>0</v>
      </c>
      <c r="H28" s="9">
        <v>0</v>
      </c>
      <c r="I28" s="9">
        <v>0</v>
      </c>
      <c r="J28" s="9">
        <f t="shared" si="5"/>
        <v>0</v>
      </c>
      <c r="K28" s="9"/>
      <c r="L28" s="9">
        <v>0</v>
      </c>
      <c r="M28" s="9">
        <v>0</v>
      </c>
      <c r="N28" s="9">
        <v>0</v>
      </c>
      <c r="O28" s="9">
        <v>0</v>
      </c>
      <c r="P28" s="9">
        <f t="shared" si="6"/>
        <v>0</v>
      </c>
      <c r="R28" s="9">
        <v>0</v>
      </c>
      <c r="S28" s="9">
        <v>0</v>
      </c>
      <c r="T28" s="9">
        <v>0</v>
      </c>
      <c r="U28" s="9">
        <v>0</v>
      </c>
      <c r="V28" s="9">
        <f t="shared" si="7"/>
        <v>0</v>
      </c>
      <c r="X28" s="9">
        <v>0</v>
      </c>
      <c r="Y28" s="9">
        <v>0</v>
      </c>
      <c r="Z28" s="9">
        <v>0</v>
      </c>
      <c r="AA28" s="9">
        <v>-12</v>
      </c>
      <c r="AB28" s="9">
        <f t="shared" si="8"/>
        <v>-12</v>
      </c>
      <c r="AD28" s="9">
        <v>1</v>
      </c>
      <c r="AE28" s="9">
        <v>0</v>
      </c>
      <c r="AF28" s="9">
        <v>0</v>
      </c>
      <c r="AG28" s="9">
        <v>0</v>
      </c>
      <c r="AH28" s="9">
        <f t="shared" si="9"/>
        <v>1</v>
      </c>
    </row>
    <row r="29" spans="2:34" x14ac:dyDescent="0.2">
      <c r="B29" s="37" t="s">
        <v>54</v>
      </c>
      <c r="C29" s="7"/>
      <c r="E29" s="7"/>
      <c r="F29" s="63">
        <f>30-13+2</f>
        <v>19</v>
      </c>
      <c r="G29" s="63">
        <f>23-13+2</f>
        <v>12</v>
      </c>
      <c r="H29" s="63">
        <f>4+2</f>
        <v>6</v>
      </c>
      <c r="I29" s="63">
        <f>-2+1</f>
        <v>-1</v>
      </c>
      <c r="J29" s="63">
        <f t="shared" si="5"/>
        <v>36</v>
      </c>
      <c r="K29" s="16"/>
      <c r="L29" s="63">
        <f>14-16+1</f>
        <v>-1</v>
      </c>
      <c r="M29" s="63">
        <f>9-2+1</f>
        <v>8</v>
      </c>
      <c r="N29" s="63">
        <f>5-1+3+1</f>
        <v>8</v>
      </c>
      <c r="O29" s="63">
        <f>20-11+1+1</f>
        <v>11</v>
      </c>
      <c r="P29" s="63">
        <f t="shared" si="6"/>
        <v>26</v>
      </c>
      <c r="R29" s="63">
        <f>13-5+1</f>
        <v>9</v>
      </c>
      <c r="S29" s="63">
        <f>21-8+1</f>
        <v>14</v>
      </c>
      <c r="T29" s="63">
        <f>28-7</f>
        <v>21</v>
      </c>
      <c r="U29" s="63">
        <f>16-3+1</f>
        <v>14</v>
      </c>
      <c r="V29" s="63">
        <f t="shared" si="7"/>
        <v>58</v>
      </c>
      <c r="X29" s="63">
        <f>37+1-1</f>
        <v>37</v>
      </c>
      <c r="Y29" s="63">
        <f>51-1</f>
        <v>50</v>
      </c>
      <c r="Z29" s="63">
        <f>73+1-9</f>
        <v>65</v>
      </c>
      <c r="AA29" s="63">
        <f>38-19+12</f>
        <v>31</v>
      </c>
      <c r="AB29" s="63">
        <f t="shared" si="8"/>
        <v>183</v>
      </c>
      <c r="AD29" s="63">
        <v>15</v>
      </c>
      <c r="AE29" s="9">
        <v>51</v>
      </c>
      <c r="AF29" s="9">
        <v>0</v>
      </c>
      <c r="AG29" s="9">
        <v>0</v>
      </c>
      <c r="AH29" s="63">
        <f t="shared" si="9"/>
        <v>66</v>
      </c>
    </row>
    <row r="30" spans="2:34" x14ac:dyDescent="0.2">
      <c r="B30" s="6" t="s">
        <v>55</v>
      </c>
      <c r="C30" s="7"/>
      <c r="E30" s="7"/>
      <c r="F30" s="8">
        <f>SUM(F17:F29)</f>
        <v>436</v>
      </c>
      <c r="G30" s="8">
        <f>SUM(G17:G29)</f>
        <v>394</v>
      </c>
      <c r="H30" s="8">
        <f>SUM(H17:H29)</f>
        <v>468</v>
      </c>
      <c r="I30" s="8">
        <f>SUM(I17:I29)</f>
        <v>422</v>
      </c>
      <c r="J30" s="58">
        <f>SUM(J17:J29)</f>
        <v>1720</v>
      </c>
      <c r="K30" s="16"/>
      <c r="L30" s="8">
        <f>SUM(L17:L29)</f>
        <v>396</v>
      </c>
      <c r="M30" s="8">
        <f>SUM(M17:M29)</f>
        <v>473</v>
      </c>
      <c r="N30" s="8">
        <f>SUM(N17:N29)</f>
        <v>536</v>
      </c>
      <c r="O30" s="8">
        <f>SUM(O17:O29)</f>
        <v>549</v>
      </c>
      <c r="P30" s="58">
        <f>SUM(P17:P29)</f>
        <v>1954</v>
      </c>
      <c r="R30" s="8">
        <f>SUM(R17:R29)</f>
        <v>638</v>
      </c>
      <c r="S30" s="8">
        <f>SUM(S17:S29)</f>
        <v>444</v>
      </c>
      <c r="T30" s="8">
        <f>SUM(T17:T29)</f>
        <v>475</v>
      </c>
      <c r="U30" s="8">
        <f>SUM(U17:U29)</f>
        <v>468</v>
      </c>
      <c r="V30" s="58">
        <f>SUM(V17:V29)</f>
        <v>2025</v>
      </c>
      <c r="X30" s="8">
        <f>SUM(X17:X29)</f>
        <v>464</v>
      </c>
      <c r="Y30" s="8">
        <f>SUM(Y17:Y29)</f>
        <v>477</v>
      </c>
      <c r="Z30" s="8">
        <f>SUM(Z17:Z29)</f>
        <v>835</v>
      </c>
      <c r="AA30" s="8">
        <f>SUM(AA17:AA29)</f>
        <v>813</v>
      </c>
      <c r="AB30" s="58">
        <f>SUM(AB17:AB29)</f>
        <v>2589</v>
      </c>
      <c r="AD30" s="8">
        <f>SUM(AD17:AD29)</f>
        <v>726</v>
      </c>
      <c r="AE30" s="8">
        <f>SUM(AE17:AE29)</f>
        <v>711</v>
      </c>
      <c r="AF30" s="8">
        <f>SUM(AF17:AF29)</f>
        <v>0</v>
      </c>
      <c r="AG30" s="8">
        <f>SUM(AG17:AG29)</f>
        <v>0</v>
      </c>
      <c r="AH30" s="58">
        <f>SUM(AH17:AH29)</f>
        <v>1437</v>
      </c>
    </row>
    <row r="31" spans="2:34" s="34" customFormat="1" ht="12.4" customHeight="1" x14ac:dyDescent="0.2">
      <c r="B31" s="93" t="s">
        <v>79</v>
      </c>
      <c r="C31" s="89"/>
      <c r="E31" s="89"/>
      <c r="F31" s="64">
        <f>2</f>
        <v>2</v>
      </c>
      <c r="G31" s="64">
        <v>0</v>
      </c>
      <c r="H31" s="64">
        <f>2</f>
        <v>2</v>
      </c>
      <c r="I31" s="64">
        <f>120</f>
        <v>120</v>
      </c>
      <c r="J31" s="64">
        <f t="shared" ref="J31" si="10">+F31+G31+H31+I31</f>
        <v>124</v>
      </c>
      <c r="K31" s="65"/>
      <c r="L31" s="64">
        <v>54</v>
      </c>
      <c r="M31" s="64">
        <v>4</v>
      </c>
      <c r="N31" s="64">
        <v>2</v>
      </c>
      <c r="O31" s="64">
        <v>-1</v>
      </c>
      <c r="P31" s="64">
        <f t="shared" ref="P31" si="11">+L31+M31+N31+O31</f>
        <v>59</v>
      </c>
      <c r="R31" s="64">
        <v>7</v>
      </c>
      <c r="S31" s="64">
        <v>0</v>
      </c>
      <c r="T31" s="64">
        <v>0</v>
      </c>
      <c r="U31" s="64">
        <v>25</v>
      </c>
      <c r="V31" s="64">
        <f t="shared" ref="V31" si="12">+R31+S31+T31+U31</f>
        <v>32</v>
      </c>
      <c r="X31" s="64">
        <v>6</v>
      </c>
      <c r="Y31" s="64">
        <v>1</v>
      </c>
      <c r="Z31" s="64">
        <v>0</v>
      </c>
      <c r="AA31" s="64">
        <v>4</v>
      </c>
      <c r="AB31" s="64">
        <f t="shared" ref="AB31" si="13">+X31+Y31+Z31+AA31</f>
        <v>11</v>
      </c>
      <c r="AD31" s="64">
        <v>0</v>
      </c>
      <c r="AE31" s="64">
        <v>0</v>
      </c>
      <c r="AF31" s="64">
        <v>0</v>
      </c>
      <c r="AG31" s="64">
        <v>0</v>
      </c>
      <c r="AH31" s="64">
        <f t="shared" ref="AH31" si="14">+AD31+AE31+AF31+AG31</f>
        <v>0</v>
      </c>
    </row>
    <row r="32" spans="2:34" x14ac:dyDescent="0.2">
      <c r="B32" s="1" t="s">
        <v>26</v>
      </c>
      <c r="C32" s="7"/>
      <c r="E32" s="7"/>
      <c r="F32" s="16">
        <f>+F14-F30+F31</f>
        <v>-71</v>
      </c>
      <c r="G32" s="16">
        <f>+G14-G30+G31</f>
        <v>-90</v>
      </c>
      <c r="H32" s="16">
        <f>+H14-H30+H31</f>
        <v>122</v>
      </c>
      <c r="I32" s="16">
        <f>+I14-I30+I31</f>
        <v>332</v>
      </c>
      <c r="J32" s="16">
        <f>+J14-J30+J31</f>
        <v>293</v>
      </c>
      <c r="K32" s="16"/>
      <c r="L32" s="16">
        <f>+L14-L30+L31</f>
        <v>-189</v>
      </c>
      <c r="M32" s="16">
        <f>+M14-M30+M31</f>
        <v>278</v>
      </c>
      <c r="N32" s="16">
        <f>+N14-N30+N31</f>
        <v>591</v>
      </c>
      <c r="O32" s="16">
        <f>+O14-O30+O31</f>
        <v>132</v>
      </c>
      <c r="P32" s="16">
        <f>+P14-P30+P31</f>
        <v>812</v>
      </c>
      <c r="R32" s="16">
        <f>+R14-R30+R31</f>
        <v>393</v>
      </c>
      <c r="S32" s="16">
        <f>+S14-S30+S31</f>
        <v>147</v>
      </c>
      <c r="T32" s="16">
        <f>+T14-T30+T31</f>
        <v>-15</v>
      </c>
      <c r="U32" s="16">
        <f>+U14-U30+U31</f>
        <v>283</v>
      </c>
      <c r="V32" s="16">
        <f>+V14-V30+V31</f>
        <v>808</v>
      </c>
      <c r="X32" s="16">
        <f>+X14-X30+X31</f>
        <v>-4</v>
      </c>
      <c r="Y32" s="16">
        <f>+Y14-Y30+Y31</f>
        <v>38</v>
      </c>
      <c r="Z32" s="16">
        <f>+Z14-Z30+Z31</f>
        <v>518</v>
      </c>
      <c r="AA32" s="16">
        <f>+AA14-AA30+AA31</f>
        <v>68</v>
      </c>
      <c r="AB32" s="16">
        <f>+AB14-AB30+AB31</f>
        <v>620</v>
      </c>
      <c r="AD32" s="16">
        <f>+AD14-AD30+AD31</f>
        <v>186</v>
      </c>
      <c r="AE32" s="16">
        <f>+AE14-AE30+AE31</f>
        <v>267</v>
      </c>
      <c r="AF32" s="16">
        <f>+AF14-AF30+AF31</f>
        <v>0</v>
      </c>
      <c r="AG32" s="16">
        <f>+AG14-AG30+AG31</f>
        <v>0</v>
      </c>
      <c r="AH32" s="16">
        <f>+AH14-AH30+AH31</f>
        <v>453</v>
      </c>
    </row>
    <row r="33" spans="2:34" ht="4.1500000000000004" customHeight="1" x14ac:dyDescent="0.2">
      <c r="B33" s="6"/>
      <c r="C33" s="7"/>
      <c r="E33" s="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  <c r="AD33" s="23"/>
      <c r="AE33" s="23"/>
      <c r="AF33" s="23"/>
      <c r="AG33" s="23"/>
      <c r="AH33" s="23"/>
    </row>
    <row r="34" spans="2:34" ht="13.9" customHeight="1" x14ac:dyDescent="0.2">
      <c r="B34" s="1" t="s">
        <v>61</v>
      </c>
      <c r="C34" s="7"/>
      <c r="E34" s="7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R34" s="23"/>
      <c r="S34" s="23"/>
      <c r="T34" s="23"/>
      <c r="U34" s="23"/>
      <c r="V34" s="23"/>
      <c r="X34" s="23"/>
      <c r="Y34" s="23"/>
      <c r="Z34" s="23"/>
      <c r="AA34" s="23"/>
      <c r="AB34" s="23"/>
      <c r="AD34" s="23"/>
      <c r="AE34" s="23"/>
      <c r="AF34" s="23"/>
      <c r="AG34" s="23"/>
      <c r="AH34" s="23"/>
    </row>
    <row r="35" spans="2:34" ht="13.9" customHeight="1" x14ac:dyDescent="0.2">
      <c r="B35" s="62" t="s">
        <v>58</v>
      </c>
      <c r="C35" s="7"/>
      <c r="E35" s="7"/>
      <c r="F35" s="9">
        <v>-2</v>
      </c>
      <c r="G35" s="9">
        <v>-2</v>
      </c>
      <c r="H35" s="9">
        <v>-1</v>
      </c>
      <c r="I35" s="9">
        <v>-1</v>
      </c>
      <c r="J35" s="9">
        <f t="shared" ref="J35:J40" si="15">+F35+G35+H35+I35</f>
        <v>-6</v>
      </c>
      <c r="K35" s="9"/>
      <c r="L35" s="9">
        <v>0</v>
      </c>
      <c r="M35" s="9">
        <v>0</v>
      </c>
      <c r="N35" s="9">
        <v>0</v>
      </c>
      <c r="O35" s="9">
        <v>0</v>
      </c>
      <c r="P35" s="9">
        <f t="shared" ref="P35:P40" si="16">+L35+M35+N35+O35</f>
        <v>0</v>
      </c>
      <c r="R35" s="9">
        <v>0</v>
      </c>
      <c r="S35" s="9">
        <v>0</v>
      </c>
      <c r="T35" s="9">
        <v>0</v>
      </c>
      <c r="U35" s="9">
        <v>0</v>
      </c>
      <c r="V35" s="9">
        <f t="shared" ref="V35:V40" si="17">+R35+S35+T35+U35</f>
        <v>0</v>
      </c>
      <c r="X35" s="9">
        <v>0</v>
      </c>
      <c r="Y35" s="9">
        <v>0</v>
      </c>
      <c r="Z35" s="9">
        <v>0</v>
      </c>
      <c r="AA35" s="9">
        <v>0</v>
      </c>
      <c r="AB35" s="9">
        <f t="shared" ref="AB35:AB40" si="18">+X35+Y35+Z35+AA35</f>
        <v>0</v>
      </c>
      <c r="AD35" s="9">
        <v>0</v>
      </c>
      <c r="AE35" s="9">
        <v>0</v>
      </c>
      <c r="AF35" s="9">
        <v>0</v>
      </c>
      <c r="AG35" s="9">
        <v>0</v>
      </c>
      <c r="AH35" s="9">
        <f t="shared" ref="AH35:AH40" si="19">+AD35+AE35+AF35+AG35</f>
        <v>0</v>
      </c>
    </row>
    <row r="36" spans="2:34" ht="13.9" customHeight="1" x14ac:dyDescent="0.2">
      <c r="B36" s="62" t="s">
        <v>18</v>
      </c>
      <c r="C36" s="7"/>
      <c r="E36" s="7"/>
      <c r="F36" s="9">
        <v>-13</v>
      </c>
      <c r="G36" s="9">
        <v>-13</v>
      </c>
      <c r="H36" s="9">
        <v>-14</v>
      </c>
      <c r="I36" s="9">
        <v>-14</v>
      </c>
      <c r="J36" s="9">
        <f t="shared" si="15"/>
        <v>-54</v>
      </c>
      <c r="K36" s="9"/>
      <c r="L36" s="9">
        <v>-13</v>
      </c>
      <c r="M36" s="9">
        <v>-13</v>
      </c>
      <c r="N36" s="9">
        <v>-13</v>
      </c>
      <c r="O36" s="9">
        <v>-14</v>
      </c>
      <c r="P36" s="9">
        <f t="shared" si="16"/>
        <v>-53</v>
      </c>
      <c r="R36" s="9">
        <v>-14</v>
      </c>
      <c r="S36" s="9">
        <v>-14</v>
      </c>
      <c r="T36" s="9">
        <v>-15</v>
      </c>
      <c r="U36" s="9">
        <v>-13</v>
      </c>
      <c r="V36" s="9">
        <f t="shared" si="17"/>
        <v>-56</v>
      </c>
      <c r="X36" s="9">
        <v>-13</v>
      </c>
      <c r="Y36" s="9">
        <v>-17</v>
      </c>
      <c r="Z36" s="9">
        <v>-29</v>
      </c>
      <c r="AA36" s="9">
        <v>-28</v>
      </c>
      <c r="AB36" s="9">
        <f t="shared" si="18"/>
        <v>-87</v>
      </c>
      <c r="AD36" s="9">
        <v>-27</v>
      </c>
      <c r="AE36" s="16">
        <v>-25</v>
      </c>
      <c r="AF36" s="16">
        <v>0</v>
      </c>
      <c r="AG36" s="16">
        <v>0</v>
      </c>
      <c r="AH36" s="9">
        <f t="shared" si="19"/>
        <v>-52</v>
      </c>
    </row>
    <row r="37" spans="2:34" ht="13.9" customHeight="1" x14ac:dyDescent="0.2">
      <c r="B37" s="62" t="s">
        <v>75</v>
      </c>
      <c r="C37" s="7"/>
      <c r="E37" s="7"/>
      <c r="F37" s="9"/>
      <c r="G37" s="9"/>
      <c r="H37" s="9"/>
      <c r="I37" s="9"/>
      <c r="J37" s="9"/>
      <c r="K37" s="9"/>
      <c r="L37" s="9">
        <v>0</v>
      </c>
      <c r="M37" s="9">
        <v>0</v>
      </c>
      <c r="N37" s="9">
        <v>0</v>
      </c>
      <c r="O37" s="9">
        <v>-1</v>
      </c>
      <c r="P37" s="9">
        <f t="shared" ref="P37" si="20">+L37+M37+N37+O37</f>
        <v>-1</v>
      </c>
      <c r="R37" s="9">
        <v>-2</v>
      </c>
      <c r="S37" s="9">
        <v>-1</v>
      </c>
      <c r="T37" s="9">
        <v>-3</v>
      </c>
      <c r="U37" s="9">
        <v>-3</v>
      </c>
      <c r="V37" s="9">
        <f t="shared" si="17"/>
        <v>-9</v>
      </c>
      <c r="X37" s="9">
        <v>-3</v>
      </c>
      <c r="Y37" s="9">
        <v>-4</v>
      </c>
      <c r="Z37" s="9">
        <v>-2</v>
      </c>
      <c r="AA37" s="9">
        <v>-1</v>
      </c>
      <c r="AB37" s="9">
        <f t="shared" si="18"/>
        <v>-10</v>
      </c>
      <c r="AD37" s="9">
        <v>-1</v>
      </c>
      <c r="AE37" s="16">
        <v>0</v>
      </c>
      <c r="AF37" s="16">
        <v>0</v>
      </c>
      <c r="AG37" s="16">
        <v>0</v>
      </c>
      <c r="AH37" s="9">
        <f t="shared" si="19"/>
        <v>-1</v>
      </c>
    </row>
    <row r="38" spans="2:34" ht="13.9" customHeight="1" x14ac:dyDescent="0.2">
      <c r="B38" s="62" t="s">
        <v>49</v>
      </c>
      <c r="C38" s="7"/>
      <c r="E38" s="7"/>
      <c r="F38" s="9">
        <v>-2</v>
      </c>
      <c r="G38" s="9">
        <v>0</v>
      </c>
      <c r="H38" s="9">
        <v>0</v>
      </c>
      <c r="I38" s="9">
        <v>0</v>
      </c>
      <c r="J38" s="9">
        <f t="shared" si="15"/>
        <v>-2</v>
      </c>
      <c r="K38" s="9"/>
      <c r="L38" s="9">
        <v>0</v>
      </c>
      <c r="M38" s="9">
        <v>0</v>
      </c>
      <c r="N38" s="9">
        <v>0</v>
      </c>
      <c r="O38" s="9">
        <v>0</v>
      </c>
      <c r="P38" s="9">
        <f t="shared" si="16"/>
        <v>0</v>
      </c>
      <c r="R38" s="9">
        <v>0</v>
      </c>
      <c r="S38" s="9">
        <v>0</v>
      </c>
      <c r="T38" s="9">
        <v>0</v>
      </c>
      <c r="U38" s="9">
        <v>-1</v>
      </c>
      <c r="V38" s="9">
        <f t="shared" si="17"/>
        <v>-1</v>
      </c>
      <c r="X38" s="9">
        <v>0</v>
      </c>
      <c r="Y38" s="9">
        <v>0</v>
      </c>
      <c r="Z38" s="9">
        <v>-5</v>
      </c>
      <c r="AA38" s="9">
        <v>0</v>
      </c>
      <c r="AB38" s="9">
        <f t="shared" si="18"/>
        <v>-5</v>
      </c>
      <c r="AD38" s="9">
        <v>-1</v>
      </c>
      <c r="AE38" s="16">
        <v>0</v>
      </c>
      <c r="AF38" s="16">
        <v>0</v>
      </c>
      <c r="AG38" s="16">
        <v>0</v>
      </c>
      <c r="AH38" s="9">
        <f t="shared" si="19"/>
        <v>-1</v>
      </c>
    </row>
    <row r="39" spans="2:34" ht="13.9" hidden="1" customHeight="1" x14ac:dyDescent="0.2">
      <c r="B39" s="62"/>
      <c r="C39" s="7"/>
      <c r="E39" s="7"/>
      <c r="F39" s="9">
        <v>0</v>
      </c>
      <c r="G39" s="9">
        <v>0</v>
      </c>
      <c r="H39" s="9">
        <v>0</v>
      </c>
      <c r="I39" s="9">
        <v>0</v>
      </c>
      <c r="J39" s="51">
        <f t="shared" si="15"/>
        <v>0</v>
      </c>
      <c r="K39" s="51"/>
      <c r="L39" s="9">
        <v>0</v>
      </c>
      <c r="M39" s="9">
        <v>0</v>
      </c>
      <c r="N39" s="9">
        <v>0</v>
      </c>
      <c r="O39" s="9">
        <v>0</v>
      </c>
      <c r="P39" s="51">
        <f t="shared" si="16"/>
        <v>0</v>
      </c>
      <c r="R39" s="9">
        <v>0</v>
      </c>
      <c r="S39" s="9">
        <v>0</v>
      </c>
      <c r="T39" s="9">
        <v>0</v>
      </c>
      <c r="U39" s="9">
        <v>0</v>
      </c>
      <c r="V39" s="51">
        <f t="shared" si="17"/>
        <v>0</v>
      </c>
      <c r="X39" s="9">
        <v>0</v>
      </c>
      <c r="Y39" s="9">
        <v>0</v>
      </c>
      <c r="Z39" s="9">
        <v>0</v>
      </c>
      <c r="AA39" s="9">
        <v>0</v>
      </c>
      <c r="AB39" s="51">
        <f t="shared" si="18"/>
        <v>0</v>
      </c>
      <c r="AD39" s="9"/>
      <c r="AE39" s="16">
        <v>0</v>
      </c>
      <c r="AF39" s="16">
        <v>0</v>
      </c>
      <c r="AG39" s="16">
        <v>0</v>
      </c>
      <c r="AH39" s="51">
        <f t="shared" si="19"/>
        <v>0</v>
      </c>
    </row>
    <row r="40" spans="2:34" ht="13.9" customHeight="1" x14ac:dyDescent="0.2">
      <c r="B40" s="62" t="s">
        <v>78</v>
      </c>
      <c r="C40" s="7"/>
      <c r="E40" s="7"/>
      <c r="F40" s="63">
        <f>-1</f>
        <v>-1</v>
      </c>
      <c r="G40" s="63">
        <v>-2</v>
      </c>
      <c r="H40" s="63">
        <v>0</v>
      </c>
      <c r="I40" s="63">
        <v>1</v>
      </c>
      <c r="J40" s="64">
        <f t="shared" si="15"/>
        <v>-2</v>
      </c>
      <c r="K40" s="65"/>
      <c r="L40" s="63">
        <v>1</v>
      </c>
      <c r="M40" s="63">
        <v>1</v>
      </c>
      <c r="N40" s="63">
        <v>1</v>
      </c>
      <c r="O40" s="63">
        <v>0</v>
      </c>
      <c r="P40" s="64">
        <f t="shared" si="16"/>
        <v>3</v>
      </c>
      <c r="R40" s="63">
        <v>-1</v>
      </c>
      <c r="S40" s="63">
        <v>3</v>
      </c>
      <c r="T40" s="63">
        <v>3</v>
      </c>
      <c r="U40" s="63">
        <v>1</v>
      </c>
      <c r="V40" s="64">
        <f t="shared" si="17"/>
        <v>6</v>
      </c>
      <c r="X40" s="63">
        <v>1</v>
      </c>
      <c r="Y40" s="63">
        <v>-6</v>
      </c>
      <c r="Z40" s="63">
        <v>1</v>
      </c>
      <c r="AA40" s="63">
        <v>2</v>
      </c>
      <c r="AB40" s="64">
        <f t="shared" si="18"/>
        <v>-2</v>
      </c>
      <c r="AD40" s="63">
        <v>5</v>
      </c>
      <c r="AE40" s="63">
        <v>0</v>
      </c>
      <c r="AF40" s="63">
        <v>0</v>
      </c>
      <c r="AG40" s="63">
        <v>0</v>
      </c>
      <c r="AH40" s="64">
        <f t="shared" si="19"/>
        <v>5</v>
      </c>
    </row>
    <row r="41" spans="2:34" ht="14.65" customHeight="1" x14ac:dyDescent="0.2">
      <c r="B41" s="1" t="s">
        <v>23</v>
      </c>
      <c r="C41" s="7"/>
      <c r="E41" s="7"/>
      <c r="F41" s="9">
        <f t="shared" ref="F41:J41" si="21">+F32+F35+F36+F38+F40+F39</f>
        <v>-89</v>
      </c>
      <c r="G41" s="9">
        <f t="shared" si="21"/>
        <v>-107</v>
      </c>
      <c r="H41" s="9">
        <f t="shared" si="21"/>
        <v>107</v>
      </c>
      <c r="I41" s="9">
        <f t="shared" si="21"/>
        <v>318</v>
      </c>
      <c r="J41" s="51">
        <f t="shared" si="21"/>
        <v>229</v>
      </c>
      <c r="K41" s="9"/>
      <c r="L41" s="9">
        <f>+L32+L35+L36+L37+L38+L40+L39</f>
        <v>-201</v>
      </c>
      <c r="M41" s="9">
        <f t="shared" ref="M41:P41" si="22">+M32+M35+M36+M37+M38+M40+M39</f>
        <v>266</v>
      </c>
      <c r="N41" s="9">
        <f t="shared" si="22"/>
        <v>579</v>
      </c>
      <c r="O41" s="9">
        <f t="shared" si="22"/>
        <v>117</v>
      </c>
      <c r="P41" s="9">
        <f t="shared" si="22"/>
        <v>761</v>
      </c>
      <c r="R41" s="9">
        <f>+R32+R35+R36+R37+R38+R40+R39</f>
        <v>376</v>
      </c>
      <c r="S41" s="9">
        <f t="shared" ref="S41:V41" si="23">+S32+S35+S36+S37+S38+S40+S39</f>
        <v>135</v>
      </c>
      <c r="T41" s="9">
        <f t="shared" si="23"/>
        <v>-30</v>
      </c>
      <c r="U41" s="9">
        <f t="shared" si="23"/>
        <v>267</v>
      </c>
      <c r="V41" s="9">
        <f t="shared" si="23"/>
        <v>748</v>
      </c>
      <c r="X41" s="9">
        <f>+X32+X35+X36+X37+X38+X40+X39</f>
        <v>-19</v>
      </c>
      <c r="Y41" s="9">
        <f t="shared" ref="Y41:AB41" si="24">+Y32+Y35+Y36+Y37+Y38+Y40+Y39</f>
        <v>11</v>
      </c>
      <c r="Z41" s="9">
        <f t="shared" si="24"/>
        <v>483</v>
      </c>
      <c r="AA41" s="9">
        <f t="shared" si="24"/>
        <v>41</v>
      </c>
      <c r="AB41" s="9">
        <f t="shared" si="24"/>
        <v>516</v>
      </c>
      <c r="AD41" s="9">
        <f>+AD32+AD35+AD36+AD37+AD38+AD40+AD39</f>
        <v>162</v>
      </c>
      <c r="AE41" s="9">
        <f t="shared" ref="AE41:AH41" si="25">+AE32+AE35+AE36+AE37+AE38+AE40+AE39</f>
        <v>242</v>
      </c>
      <c r="AF41" s="9">
        <f t="shared" si="25"/>
        <v>0</v>
      </c>
      <c r="AG41" s="9">
        <f t="shared" si="25"/>
        <v>0</v>
      </c>
      <c r="AH41" s="9">
        <f t="shared" si="25"/>
        <v>404</v>
      </c>
    </row>
    <row r="42" spans="2:34" ht="14.65" customHeight="1" x14ac:dyDescent="0.2">
      <c r="B42" s="37" t="s">
        <v>59</v>
      </c>
      <c r="C42" s="7"/>
      <c r="E42" s="7"/>
      <c r="F42" s="9">
        <v>0</v>
      </c>
      <c r="G42" s="9">
        <v>0</v>
      </c>
      <c r="H42" s="9">
        <v>0</v>
      </c>
      <c r="I42" s="9">
        <v>396</v>
      </c>
      <c r="J42" s="51">
        <f t="shared" ref="J42" si="26">+F42+G42+H42+I42</f>
        <v>396</v>
      </c>
      <c r="K42" s="51"/>
      <c r="L42" s="9">
        <v>26</v>
      </c>
      <c r="M42" s="9">
        <v>-76</v>
      </c>
      <c r="N42" s="9">
        <v>-153</v>
      </c>
      <c r="O42" s="9">
        <v>-34</v>
      </c>
      <c r="P42" s="51">
        <f t="shared" ref="P42" si="27">+L42+M42+N42+O42</f>
        <v>-237</v>
      </c>
      <c r="R42" s="9">
        <v>-75</v>
      </c>
      <c r="S42" s="9">
        <v>-38</v>
      </c>
      <c r="T42" s="9">
        <v>8</v>
      </c>
      <c r="U42" s="9">
        <v>-79</v>
      </c>
      <c r="V42" s="51">
        <f t="shared" ref="V42" si="28">+R42+S42+T42+U42</f>
        <v>-184</v>
      </c>
      <c r="X42" s="9">
        <v>9</v>
      </c>
      <c r="Y42" s="9">
        <v>-3</v>
      </c>
      <c r="Z42" s="9">
        <v>-138</v>
      </c>
      <c r="AA42" s="9">
        <v>-8</v>
      </c>
      <c r="AB42" s="51">
        <f t="shared" ref="AB42" si="29">+X42+Y42+Z42+AA42</f>
        <v>-140</v>
      </c>
      <c r="AD42" s="9">
        <v>-47</v>
      </c>
      <c r="AE42" s="63">
        <v>-70</v>
      </c>
      <c r="AF42" s="63">
        <v>0</v>
      </c>
      <c r="AG42" s="63">
        <v>0</v>
      </c>
      <c r="AH42" s="51">
        <f t="shared" ref="AH42" si="30">+AD42+AE42+AF42+AG42</f>
        <v>-117</v>
      </c>
    </row>
    <row r="43" spans="2:34" s="10" customFormat="1" ht="14.65" customHeight="1" x14ac:dyDescent="0.2">
      <c r="B43" s="1" t="s">
        <v>24</v>
      </c>
      <c r="C43" s="29"/>
      <c r="D43" s="28"/>
      <c r="E43" s="7"/>
      <c r="F43" s="17">
        <f>+F41+F42</f>
        <v>-89</v>
      </c>
      <c r="G43" s="17">
        <f>+G41+G42</f>
        <v>-107</v>
      </c>
      <c r="H43" s="17">
        <f>+H41+H42</f>
        <v>107</v>
      </c>
      <c r="I43" s="17">
        <f>+I41+I42</f>
        <v>714</v>
      </c>
      <c r="J43" s="17">
        <f t="shared" ref="J43" si="31">+J41+J42</f>
        <v>625</v>
      </c>
      <c r="K43" s="16"/>
      <c r="L43" s="17">
        <f>+L41+L42</f>
        <v>-175</v>
      </c>
      <c r="M43" s="17">
        <f>+M41+M42</f>
        <v>190</v>
      </c>
      <c r="N43" s="17">
        <f>+N41+N42</f>
        <v>426</v>
      </c>
      <c r="O43" s="17">
        <f>+O41+O42</f>
        <v>83</v>
      </c>
      <c r="P43" s="17">
        <f t="shared" ref="P43" si="32">+P41+P42</f>
        <v>524</v>
      </c>
      <c r="R43" s="17">
        <f>+R41+R42</f>
        <v>301</v>
      </c>
      <c r="S43" s="17">
        <f>+S41+S42</f>
        <v>97</v>
      </c>
      <c r="T43" s="17">
        <f>+T41+T42</f>
        <v>-22</v>
      </c>
      <c r="U43" s="17">
        <f>+U41+U42</f>
        <v>188</v>
      </c>
      <c r="V43" s="17">
        <f t="shared" ref="V43" si="33">+V41+V42</f>
        <v>564</v>
      </c>
      <c r="X43" s="17">
        <f>+X41+X42</f>
        <v>-10</v>
      </c>
      <c r="Y43" s="17">
        <f>+Y41+Y42</f>
        <v>8</v>
      </c>
      <c r="Z43" s="17">
        <f>+Z41+Z42</f>
        <v>345</v>
      </c>
      <c r="AA43" s="17">
        <f>+AA41+AA42</f>
        <v>33</v>
      </c>
      <c r="AB43" s="17">
        <f t="shared" ref="AB43" si="34">+AB41+AB42</f>
        <v>376</v>
      </c>
      <c r="AD43" s="17">
        <f>+AD41+AD42</f>
        <v>115</v>
      </c>
      <c r="AE43" s="17">
        <f>+AE41+AE42</f>
        <v>172</v>
      </c>
      <c r="AF43" s="17">
        <f>+AF41+AF42</f>
        <v>0</v>
      </c>
      <c r="AG43" s="17">
        <f>+AG41+AG42</f>
        <v>0</v>
      </c>
      <c r="AH43" s="17">
        <f t="shared" ref="AH43" si="35">+AH41+AH42</f>
        <v>287</v>
      </c>
    </row>
    <row r="44" spans="2:34" s="10" customFormat="1" ht="3.6" customHeight="1" x14ac:dyDescent="0.2">
      <c r="B44" s="1"/>
      <c r="C44" s="29"/>
      <c r="D44" s="28"/>
      <c r="E44" s="7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R44" s="16"/>
      <c r="S44" s="16"/>
      <c r="T44" s="16"/>
      <c r="U44" s="16"/>
      <c r="V44" s="16"/>
      <c r="X44" s="16"/>
      <c r="Y44" s="16"/>
      <c r="Z44" s="16"/>
      <c r="AA44" s="16"/>
      <c r="AB44" s="16"/>
      <c r="AD44" s="16"/>
      <c r="AE44" s="16"/>
      <c r="AF44" s="16"/>
      <c r="AG44" s="16"/>
      <c r="AH44" s="16"/>
    </row>
    <row r="45" spans="2:34" s="10" customFormat="1" ht="14.65" customHeight="1" x14ac:dyDescent="0.2">
      <c r="B45" s="79" t="s">
        <v>39</v>
      </c>
      <c r="C45" s="29"/>
      <c r="D45" s="28"/>
      <c r="E45" s="7"/>
      <c r="F45" s="16"/>
      <c r="G45" s="39"/>
      <c r="H45" s="39"/>
      <c r="I45" s="39"/>
      <c r="J45" s="16"/>
      <c r="K45" s="16"/>
      <c r="L45" s="16"/>
      <c r="M45" s="39"/>
      <c r="N45" s="39"/>
      <c r="O45" s="39"/>
      <c r="P45" s="16"/>
      <c r="Q45" s="66"/>
      <c r="R45" s="16"/>
      <c r="S45" s="39"/>
      <c r="T45" s="39"/>
      <c r="U45" s="39"/>
      <c r="V45" s="16"/>
      <c r="X45" s="16"/>
      <c r="Y45" s="39"/>
      <c r="Z45" s="39"/>
      <c r="AA45" s="39"/>
      <c r="AB45" s="16"/>
      <c r="AD45" s="16"/>
      <c r="AE45" s="39"/>
      <c r="AF45" s="39"/>
      <c r="AG45" s="39"/>
      <c r="AH45" s="16"/>
    </row>
    <row r="46" spans="2:34" s="10" customFormat="1" ht="14.65" customHeight="1" x14ac:dyDescent="0.2">
      <c r="B46" s="68" t="s">
        <v>38</v>
      </c>
      <c r="C46" s="29"/>
      <c r="D46" s="28"/>
      <c r="E46" s="7"/>
      <c r="F46" s="16">
        <v>0</v>
      </c>
      <c r="G46" s="39">
        <v>0</v>
      </c>
      <c r="H46" s="39">
        <v>0</v>
      </c>
      <c r="I46" s="39">
        <v>0</v>
      </c>
      <c r="J46" s="9">
        <f t="shared" ref="J46" si="36">+F46+G46+H46+I46</f>
        <v>0</v>
      </c>
      <c r="K46" s="9"/>
      <c r="L46" s="16">
        <v>0</v>
      </c>
      <c r="M46" s="39">
        <v>0</v>
      </c>
      <c r="N46" s="39">
        <v>0</v>
      </c>
      <c r="O46" s="39">
        <v>0</v>
      </c>
      <c r="P46" s="9">
        <f t="shared" ref="P46:P47" si="37">+L46+M46+N46+O46</f>
        <v>0</v>
      </c>
      <c r="R46" s="16">
        <v>0</v>
      </c>
      <c r="S46" s="39">
        <v>0</v>
      </c>
      <c r="T46" s="39">
        <v>0</v>
      </c>
      <c r="U46" s="39">
        <v>0</v>
      </c>
      <c r="V46" s="9">
        <f t="shared" ref="V46:V47" si="38">+R46+S46+T46+U46</f>
        <v>0</v>
      </c>
      <c r="X46" s="16">
        <v>0</v>
      </c>
      <c r="Y46" s="39">
        <v>0</v>
      </c>
      <c r="Z46" s="39">
        <v>0</v>
      </c>
      <c r="AA46" s="39">
        <v>0</v>
      </c>
      <c r="AB46" s="9">
        <f t="shared" ref="AB46:AB47" si="39">+X46+Y46+Z46+AA46</f>
        <v>0</v>
      </c>
      <c r="AD46" s="16">
        <v>0</v>
      </c>
      <c r="AE46" s="39">
        <v>0</v>
      </c>
      <c r="AF46" s="39">
        <v>0</v>
      </c>
      <c r="AG46" s="39">
        <v>0</v>
      </c>
      <c r="AH46" s="9">
        <f t="shared" ref="AH46:AH47" si="40">+AD46+AE46+AF46+AG46</f>
        <v>0</v>
      </c>
    </row>
    <row r="47" spans="2:34" s="10" customFormat="1" ht="14.65" customHeight="1" x14ac:dyDescent="0.2">
      <c r="B47" s="68" t="s">
        <v>60</v>
      </c>
      <c r="C47" s="29"/>
      <c r="D47" s="28"/>
      <c r="E47" s="7"/>
      <c r="F47" s="63">
        <v>-5</v>
      </c>
      <c r="G47" s="77">
        <v>-4</v>
      </c>
      <c r="H47" s="77">
        <v>-4</v>
      </c>
      <c r="I47" s="77">
        <v>0</v>
      </c>
      <c r="J47" s="9">
        <f t="shared" ref="J47" si="41">+F47+G47+H47+I47</f>
        <v>-13</v>
      </c>
      <c r="K47" s="9"/>
      <c r="L47" s="63">
        <v>0</v>
      </c>
      <c r="M47" s="77">
        <v>0</v>
      </c>
      <c r="N47" s="77">
        <v>0</v>
      </c>
      <c r="O47" s="77">
        <v>0</v>
      </c>
      <c r="P47" s="9">
        <f t="shared" si="37"/>
        <v>0</v>
      </c>
      <c r="R47" s="63">
        <v>0</v>
      </c>
      <c r="S47" s="77">
        <v>0</v>
      </c>
      <c r="T47" s="77">
        <v>0</v>
      </c>
      <c r="U47" s="77">
        <v>0</v>
      </c>
      <c r="V47" s="9">
        <f t="shared" si="38"/>
        <v>0</v>
      </c>
      <c r="X47" s="63">
        <v>0</v>
      </c>
      <c r="Y47" s="77">
        <v>0</v>
      </c>
      <c r="Z47" s="77">
        <v>0</v>
      </c>
      <c r="AA47" s="77">
        <v>0</v>
      </c>
      <c r="AB47" s="9">
        <f t="shared" si="39"/>
        <v>0</v>
      </c>
      <c r="AD47" s="63">
        <v>0</v>
      </c>
      <c r="AE47" s="77">
        <v>0</v>
      </c>
      <c r="AF47" s="77">
        <v>0</v>
      </c>
      <c r="AG47" s="77">
        <v>0</v>
      </c>
      <c r="AH47" s="9">
        <f t="shared" si="40"/>
        <v>0</v>
      </c>
    </row>
    <row r="48" spans="2:34" s="10" customFormat="1" ht="14.65" customHeight="1" x14ac:dyDescent="0.2">
      <c r="B48" s="68" t="s">
        <v>40</v>
      </c>
      <c r="C48" s="29"/>
      <c r="D48" s="28"/>
      <c r="E48" s="7"/>
      <c r="F48" s="16">
        <f>SUM(F46:F47)</f>
        <v>-5</v>
      </c>
      <c r="G48" s="16">
        <f>SUM(G46:G47)</f>
        <v>-4</v>
      </c>
      <c r="H48" s="16">
        <f>SUM(H46:H47)</f>
        <v>-4</v>
      </c>
      <c r="I48" s="16">
        <f>SUM(I46:I47)</f>
        <v>0</v>
      </c>
      <c r="J48" s="17">
        <f>SUM(J46:J47)</f>
        <v>-13</v>
      </c>
      <c r="K48" s="16"/>
      <c r="L48" s="16">
        <f>SUM(L46:L47)</f>
        <v>0</v>
      </c>
      <c r="M48" s="16">
        <f>SUM(M46:M47)</f>
        <v>0</v>
      </c>
      <c r="N48" s="16">
        <f>SUM(N46:N47)</f>
        <v>0</v>
      </c>
      <c r="O48" s="16">
        <f>SUM(O46:O47)</f>
        <v>0</v>
      </c>
      <c r="P48" s="17">
        <f>SUM(P46:P47)</f>
        <v>0</v>
      </c>
      <c r="R48" s="16">
        <f>SUM(R46:R47)</f>
        <v>0</v>
      </c>
      <c r="S48" s="16">
        <f>SUM(S46:S47)</f>
        <v>0</v>
      </c>
      <c r="T48" s="16">
        <f>SUM(T46:T47)</f>
        <v>0</v>
      </c>
      <c r="U48" s="16">
        <f>SUM(U46:U47)</f>
        <v>0</v>
      </c>
      <c r="V48" s="17">
        <f>SUM(V46:V47)</f>
        <v>0</v>
      </c>
      <c r="X48" s="16">
        <f>SUM(X46:X47)</f>
        <v>0</v>
      </c>
      <c r="Y48" s="16">
        <f>SUM(Y46:Y47)</f>
        <v>0</v>
      </c>
      <c r="Z48" s="16">
        <f>SUM(Z46:Z47)</f>
        <v>0</v>
      </c>
      <c r="AA48" s="16">
        <f>SUM(AA46:AA47)</f>
        <v>0</v>
      </c>
      <c r="AB48" s="17">
        <f>SUM(AB46:AB47)</f>
        <v>0</v>
      </c>
      <c r="AD48" s="16">
        <f>SUM(AD46:AD47)</f>
        <v>0</v>
      </c>
      <c r="AE48" s="16">
        <f>SUM(AE46:AE47)</f>
        <v>0</v>
      </c>
      <c r="AF48" s="16">
        <f>SUM(AF46:AF47)</f>
        <v>0</v>
      </c>
      <c r="AG48" s="16">
        <f>SUM(AG46:AG47)</f>
        <v>0</v>
      </c>
      <c r="AH48" s="17">
        <f>SUM(AH46:AH47)</f>
        <v>0</v>
      </c>
    </row>
    <row r="49" spans="1:34" s="10" customFormat="1" ht="4.1500000000000004" customHeight="1" x14ac:dyDescent="0.2">
      <c r="B49" s="68"/>
      <c r="C49" s="29"/>
      <c r="D49" s="28"/>
      <c r="E49" s="7"/>
      <c r="F49" s="16"/>
      <c r="G49" s="39"/>
      <c r="H49" s="39"/>
      <c r="I49" s="39"/>
      <c r="J49" s="16"/>
      <c r="K49" s="16"/>
      <c r="L49" s="16"/>
      <c r="M49" s="39"/>
      <c r="N49" s="39"/>
      <c r="O49" s="39"/>
      <c r="P49" s="16"/>
      <c r="R49" s="16"/>
      <c r="S49" s="39"/>
      <c r="T49" s="39"/>
      <c r="U49" s="39"/>
      <c r="V49" s="16"/>
      <c r="X49" s="16"/>
      <c r="Y49" s="39"/>
      <c r="Z49" s="39"/>
      <c r="AA49" s="39"/>
      <c r="AB49" s="16"/>
      <c r="AD49" s="16"/>
      <c r="AE49" s="39"/>
      <c r="AF49" s="39"/>
      <c r="AG49" s="39"/>
      <c r="AH49" s="16"/>
    </row>
    <row r="50" spans="1:34" ht="14.65" customHeight="1" thickBot="1" x14ac:dyDescent="0.25">
      <c r="B50" s="1" t="s">
        <v>25</v>
      </c>
      <c r="E50" s="7"/>
      <c r="F50" s="67">
        <f>+F43+F48</f>
        <v>-94</v>
      </c>
      <c r="G50" s="67">
        <f>+G43+G48</f>
        <v>-111</v>
      </c>
      <c r="H50" s="67">
        <f>+H43+H48</f>
        <v>103</v>
      </c>
      <c r="I50" s="67">
        <f>+I43+I48</f>
        <v>714</v>
      </c>
      <c r="J50" s="67">
        <f>+J43+J48</f>
        <v>612</v>
      </c>
      <c r="K50" s="15"/>
      <c r="L50" s="67">
        <f>+L43+L48</f>
        <v>-175</v>
      </c>
      <c r="M50" s="67">
        <f>+M43+M48</f>
        <v>190</v>
      </c>
      <c r="N50" s="67">
        <f>+N43+N48</f>
        <v>426</v>
      </c>
      <c r="O50" s="67">
        <f>+O43+O48</f>
        <v>83</v>
      </c>
      <c r="P50" s="67">
        <f>+P43+P48</f>
        <v>524</v>
      </c>
      <c r="R50" s="67">
        <f>+R43+R48</f>
        <v>301</v>
      </c>
      <c r="S50" s="67">
        <f>+S43+S48</f>
        <v>97</v>
      </c>
      <c r="T50" s="67">
        <f>+T43+T48</f>
        <v>-22</v>
      </c>
      <c r="U50" s="67">
        <f>+U43+U48</f>
        <v>188</v>
      </c>
      <c r="V50" s="67">
        <f>+V43+V48</f>
        <v>564</v>
      </c>
      <c r="X50" s="67">
        <f>+X43+X48</f>
        <v>-10</v>
      </c>
      <c r="Y50" s="67">
        <f>+Y43+Y48</f>
        <v>8</v>
      </c>
      <c r="Z50" s="67">
        <f>+Z43+Z48</f>
        <v>345</v>
      </c>
      <c r="AA50" s="67">
        <f>+AA43+AA48</f>
        <v>33</v>
      </c>
      <c r="AB50" s="67">
        <f>+AB43+AB48</f>
        <v>376</v>
      </c>
      <c r="AD50" s="67">
        <f>+AD43+AD48</f>
        <v>115</v>
      </c>
      <c r="AE50" s="67">
        <f>+AE43+AE48</f>
        <v>172</v>
      </c>
      <c r="AF50" s="67">
        <f>+AF43+AF48</f>
        <v>0</v>
      </c>
      <c r="AG50" s="67">
        <f>+AG43+AG48</f>
        <v>0</v>
      </c>
      <c r="AH50" s="67">
        <f>+AH43+AH48</f>
        <v>287</v>
      </c>
    </row>
    <row r="51" spans="1:34" ht="13.5" thickTop="1" x14ac:dyDescent="0.2">
      <c r="C51" s="11"/>
      <c r="H51" s="34"/>
      <c r="N51" s="34"/>
      <c r="T51" s="34"/>
      <c r="Z51" s="34"/>
      <c r="AF51" s="34"/>
    </row>
    <row r="52" spans="1:34" ht="14.25" x14ac:dyDescent="0.2">
      <c r="B52" s="97" t="s">
        <v>97</v>
      </c>
      <c r="C52" s="11"/>
      <c r="H52" s="34"/>
      <c r="N52" s="34"/>
      <c r="T52" s="34"/>
      <c r="Z52" s="34"/>
      <c r="AF52" s="34"/>
    </row>
    <row r="53" spans="1:34" x14ac:dyDescent="0.2">
      <c r="B53" s="5"/>
      <c r="C53" s="11"/>
      <c r="H53" s="34"/>
      <c r="N53" s="34"/>
      <c r="T53" s="34"/>
      <c r="Z53" s="34"/>
      <c r="AF53" s="34"/>
    </row>
    <row r="54" spans="1:34" x14ac:dyDescent="0.2">
      <c r="B54" s="37" t="s">
        <v>62</v>
      </c>
      <c r="C54" s="11"/>
      <c r="F54" s="7">
        <f>F9</f>
        <v>432</v>
      </c>
      <c r="G54" s="7">
        <f>G9</f>
        <v>478</v>
      </c>
      <c r="H54" s="89">
        <f>H9</f>
        <v>549</v>
      </c>
      <c r="I54" s="7">
        <f>I9</f>
        <v>589</v>
      </c>
      <c r="J54" s="7">
        <f>J9</f>
        <v>2048</v>
      </c>
      <c r="K54" s="7"/>
      <c r="L54" s="7">
        <f>L9</f>
        <v>628</v>
      </c>
      <c r="M54" s="7">
        <f>M9</f>
        <v>718</v>
      </c>
      <c r="N54" s="89">
        <f>N9</f>
        <v>680</v>
      </c>
      <c r="O54" s="7">
        <f>O9</f>
        <v>617</v>
      </c>
      <c r="P54" s="7">
        <f>P9</f>
        <v>2643</v>
      </c>
      <c r="R54" s="7">
        <f>R9</f>
        <v>715</v>
      </c>
      <c r="S54" s="7">
        <f>S9</f>
        <v>447</v>
      </c>
      <c r="T54" s="89">
        <f>T9</f>
        <v>510</v>
      </c>
      <c r="U54" s="7">
        <f>U9</f>
        <v>483</v>
      </c>
      <c r="V54" s="7">
        <f>V9</f>
        <v>2155</v>
      </c>
      <c r="X54" s="7">
        <f>X9</f>
        <v>429</v>
      </c>
      <c r="Y54" s="7">
        <f>Y9</f>
        <v>412</v>
      </c>
      <c r="Z54" s="89">
        <f>Z9</f>
        <v>870</v>
      </c>
      <c r="AA54" s="7">
        <f>AA9</f>
        <v>826</v>
      </c>
      <c r="AB54" s="7">
        <f>AB9</f>
        <v>2537</v>
      </c>
      <c r="AD54" s="7">
        <f>AD9</f>
        <v>814</v>
      </c>
      <c r="AE54" s="7">
        <f>AE9</f>
        <v>702</v>
      </c>
      <c r="AF54" s="89">
        <f>AF9</f>
        <v>0</v>
      </c>
      <c r="AG54" s="7">
        <f>AG9</f>
        <v>0</v>
      </c>
      <c r="AH54" s="7">
        <f>AH9</f>
        <v>1516</v>
      </c>
    </row>
    <row r="55" spans="1:34" x14ac:dyDescent="0.2">
      <c r="B55" t="s">
        <v>63</v>
      </c>
      <c r="C55" s="11"/>
      <c r="E55" s="20"/>
      <c r="F55" s="20">
        <v>-39</v>
      </c>
      <c r="G55" s="20">
        <v>-82</v>
      </c>
      <c r="H55" s="90">
        <v>-99</v>
      </c>
      <c r="I55" s="20">
        <v>-99</v>
      </c>
      <c r="J55" s="20">
        <f>SUM(F55:I55)</f>
        <v>-319</v>
      </c>
      <c r="K55" s="20"/>
      <c r="L55" s="20">
        <v>-181</v>
      </c>
      <c r="M55" s="90">
        <v>-241</v>
      </c>
      <c r="N55" s="90">
        <v>-182</v>
      </c>
      <c r="O55" s="90">
        <v>-134</v>
      </c>
      <c r="P55" s="20">
        <f>SUM(L55:O55)</f>
        <v>-738</v>
      </c>
      <c r="R55" s="90">
        <f>-65</f>
        <v>-65</v>
      </c>
      <c r="S55" s="90">
        <v>-63</v>
      </c>
      <c r="T55" s="90">
        <v>-95</v>
      </c>
      <c r="U55" s="90">
        <v>-49</v>
      </c>
      <c r="V55" s="20">
        <f>SUM(R55:U55)</f>
        <v>-272</v>
      </c>
      <c r="X55" s="90">
        <v>-12</v>
      </c>
      <c r="Y55" s="90">
        <v>-6</v>
      </c>
      <c r="Z55" s="90">
        <v>-17</v>
      </c>
      <c r="AA55" s="90">
        <v>2</v>
      </c>
      <c r="AB55" s="20">
        <f>SUM(X55:AA55)</f>
        <v>-33</v>
      </c>
      <c r="AD55" s="90">
        <v>-16</v>
      </c>
      <c r="AE55" s="90">
        <v>17</v>
      </c>
      <c r="AF55" s="90">
        <v>0</v>
      </c>
      <c r="AG55" s="90">
        <v>0</v>
      </c>
      <c r="AH55" s="20">
        <f>SUM(AD55:AG55)</f>
        <v>1</v>
      </c>
    </row>
    <row r="56" spans="1:34" ht="13.5" thickBot="1" x14ac:dyDescent="0.25">
      <c r="B56" t="s">
        <v>64</v>
      </c>
      <c r="C56" s="11"/>
      <c r="F56" s="67">
        <f t="shared" ref="F56" si="42">SUM(F54:F55)</f>
        <v>393</v>
      </c>
      <c r="G56" s="67">
        <f t="shared" ref="G56" si="43">SUM(G54:G55)</f>
        <v>396</v>
      </c>
      <c r="H56" s="67">
        <f t="shared" ref="H56" si="44">SUM(H54:H55)</f>
        <v>450</v>
      </c>
      <c r="I56" s="67">
        <f t="shared" ref="I56" si="45">SUM(I54:I55)</f>
        <v>490</v>
      </c>
      <c r="J56" s="67">
        <f t="shared" ref="J56" si="46">SUM(J54:J55)</f>
        <v>1729</v>
      </c>
      <c r="K56" s="15"/>
      <c r="L56" s="67">
        <f t="shared" ref="L56:P56" si="47">SUM(L54:L55)</f>
        <v>447</v>
      </c>
      <c r="M56" s="67">
        <f t="shared" si="47"/>
        <v>477</v>
      </c>
      <c r="N56" s="67">
        <f t="shared" si="47"/>
        <v>498</v>
      </c>
      <c r="O56" s="67">
        <f t="shared" si="47"/>
        <v>483</v>
      </c>
      <c r="P56" s="67">
        <f t="shared" si="47"/>
        <v>1905</v>
      </c>
      <c r="R56" s="67">
        <f t="shared" ref="R56:V56" si="48">SUM(R54:R55)</f>
        <v>650</v>
      </c>
      <c r="S56" s="67">
        <f t="shared" si="48"/>
        <v>384</v>
      </c>
      <c r="T56" s="67">
        <f t="shared" si="48"/>
        <v>415</v>
      </c>
      <c r="U56" s="67">
        <f t="shared" si="48"/>
        <v>434</v>
      </c>
      <c r="V56" s="67">
        <f t="shared" si="48"/>
        <v>1883</v>
      </c>
      <c r="X56" s="67">
        <f t="shared" ref="X56:AB56" si="49">SUM(X54:X55)</f>
        <v>417</v>
      </c>
      <c r="Y56" s="67">
        <f t="shared" si="49"/>
        <v>406</v>
      </c>
      <c r="Z56" s="67">
        <f t="shared" si="49"/>
        <v>853</v>
      </c>
      <c r="AA56" s="67">
        <f t="shared" si="49"/>
        <v>828</v>
      </c>
      <c r="AB56" s="67">
        <f t="shared" si="49"/>
        <v>2504</v>
      </c>
      <c r="AD56" s="67">
        <f t="shared" ref="AD56:AH56" si="50">SUM(AD54:AD55)</f>
        <v>798</v>
      </c>
      <c r="AE56" s="67">
        <f t="shared" si="50"/>
        <v>719</v>
      </c>
      <c r="AF56" s="67">
        <f t="shared" si="50"/>
        <v>0</v>
      </c>
      <c r="AG56" s="67">
        <f t="shared" si="50"/>
        <v>0</v>
      </c>
      <c r="AH56" s="67">
        <f t="shared" si="50"/>
        <v>1517</v>
      </c>
    </row>
    <row r="57" spans="1:34" ht="13.5" thickTop="1" x14ac:dyDescent="0.2">
      <c r="F57" s="10"/>
      <c r="G57" s="10"/>
      <c r="H57" s="34"/>
      <c r="L57" s="10"/>
      <c r="M57" s="10"/>
      <c r="N57" s="34"/>
      <c r="R57" s="10"/>
      <c r="S57" s="10"/>
      <c r="T57" s="34"/>
      <c r="X57" s="10"/>
      <c r="Y57" s="10"/>
      <c r="Z57" s="34"/>
      <c r="AD57" s="10"/>
      <c r="AE57" s="10"/>
      <c r="AF57" s="34"/>
    </row>
    <row r="58" spans="1:34" ht="16.5" thickBot="1" x14ac:dyDescent="0.3">
      <c r="B58" s="24" t="s">
        <v>32</v>
      </c>
      <c r="C58" s="26"/>
      <c r="D58" s="41"/>
      <c r="F58" s="26"/>
      <c r="G58" s="26"/>
      <c r="H58" s="41"/>
      <c r="I58" s="26"/>
      <c r="J58" s="26"/>
      <c r="K58" s="11"/>
      <c r="L58" s="26"/>
      <c r="M58" s="26"/>
      <c r="N58" s="41"/>
      <c r="O58" s="26"/>
      <c r="P58" s="26"/>
      <c r="Q58" s="11"/>
      <c r="R58" s="26"/>
      <c r="S58" s="26"/>
      <c r="T58" s="41"/>
      <c r="U58" s="26"/>
      <c r="V58" s="26"/>
      <c r="X58" s="26"/>
      <c r="Y58" s="26"/>
      <c r="Z58" s="41"/>
      <c r="AA58" s="26"/>
      <c r="AB58" s="26"/>
      <c r="AD58" s="26"/>
      <c r="AE58" s="26"/>
      <c r="AF58" s="41"/>
      <c r="AG58" s="26"/>
      <c r="AH58" s="26"/>
    </row>
    <row r="59" spans="1:34" ht="4.5" customHeight="1" thickTop="1" x14ac:dyDescent="0.25">
      <c r="B59" s="47"/>
      <c r="C59" s="11"/>
      <c r="D59" s="48"/>
      <c r="F59" s="11"/>
      <c r="G59" s="11"/>
      <c r="H59" s="48"/>
      <c r="I59" s="11"/>
      <c r="J59" s="11"/>
      <c r="K59" s="11"/>
      <c r="L59" s="11"/>
      <c r="M59" s="11"/>
      <c r="N59" s="48"/>
      <c r="O59" s="11"/>
      <c r="P59" s="11"/>
      <c r="R59" s="11"/>
      <c r="S59" s="11"/>
      <c r="T59" s="48"/>
      <c r="U59" s="11"/>
      <c r="V59" s="11"/>
      <c r="X59" s="11"/>
      <c r="Y59" s="11"/>
      <c r="Z59" s="48"/>
      <c r="AA59" s="11"/>
      <c r="AB59" s="11"/>
      <c r="AD59" s="11"/>
      <c r="AE59" s="11"/>
      <c r="AF59" s="48"/>
      <c r="AG59" s="11"/>
      <c r="AH59" s="11"/>
    </row>
    <row r="60" spans="1:34" ht="15.75" x14ac:dyDescent="0.25">
      <c r="B60" s="47"/>
      <c r="C60" s="11"/>
      <c r="F60" s="31" t="str">
        <f>+F7</f>
        <v>1Q 2021</v>
      </c>
      <c r="G60" s="31" t="str">
        <f>+G7</f>
        <v>2Q 2021</v>
      </c>
      <c r="H60" s="31" t="str">
        <f>+H7</f>
        <v>3Q 2021</v>
      </c>
      <c r="I60" s="31" t="str">
        <f>+I7</f>
        <v>4Q 2021</v>
      </c>
      <c r="J60" s="31" t="str">
        <f>+J7</f>
        <v>Total</v>
      </c>
      <c r="K60" s="81"/>
      <c r="L60" s="31" t="str">
        <f>+L7</f>
        <v>1Q 2022</v>
      </c>
      <c r="M60" s="31" t="str">
        <f>+M7</f>
        <v>2Q 2022</v>
      </c>
      <c r="N60" s="31" t="str">
        <f>+N7</f>
        <v>3Q 2022</v>
      </c>
      <c r="O60" s="31" t="str">
        <f>+O7</f>
        <v>4Q 2022</v>
      </c>
      <c r="P60" s="31" t="str">
        <f>+P7</f>
        <v>Total</v>
      </c>
      <c r="R60" s="31" t="str">
        <f>+R7</f>
        <v>1Q 2023</v>
      </c>
      <c r="S60" s="31" t="str">
        <f>+S7</f>
        <v>2Q 2023</v>
      </c>
      <c r="T60" s="31" t="str">
        <f>+T7</f>
        <v>3Q 2023</v>
      </c>
      <c r="U60" s="31" t="str">
        <f>+U7</f>
        <v>4Q 2023</v>
      </c>
      <c r="V60" s="31" t="str">
        <f>+V7</f>
        <v>Total</v>
      </c>
      <c r="X60" s="31" t="str">
        <f>+X7</f>
        <v>1Q 2024</v>
      </c>
      <c r="Y60" s="31" t="str">
        <f>+Y7</f>
        <v>2Q 2024</v>
      </c>
      <c r="Z60" s="31" t="str">
        <f>+Z7</f>
        <v>3Q 2024</v>
      </c>
      <c r="AA60" s="31" t="str">
        <f>+AA7</f>
        <v>4Q 2024</v>
      </c>
      <c r="AB60" s="31" t="str">
        <f>+AB7</f>
        <v>Total</v>
      </c>
      <c r="AD60" s="31" t="str">
        <f>+AD7</f>
        <v>1Q 2025</v>
      </c>
      <c r="AE60" s="31" t="str">
        <f>+AE7</f>
        <v>2Q 2025</v>
      </c>
      <c r="AF60" s="31" t="str">
        <f>+AF7</f>
        <v>3Q 2025</v>
      </c>
      <c r="AG60" s="31" t="str">
        <f>+AG7</f>
        <v>4Q 2025</v>
      </c>
      <c r="AH60" s="31" t="str">
        <f>+AH7</f>
        <v>Total</v>
      </c>
    </row>
    <row r="61" spans="1:34" x14ac:dyDescent="0.2">
      <c r="A61" t="s">
        <v>19</v>
      </c>
      <c r="B61" s="1" t="s">
        <v>42</v>
      </c>
      <c r="C61" s="2"/>
      <c r="H61" s="34"/>
      <c r="N61" s="34"/>
      <c r="T61" s="34"/>
      <c r="Z61" s="34"/>
      <c r="AF61" s="34"/>
    </row>
    <row r="62" spans="1:34" x14ac:dyDescent="0.2">
      <c r="B62" s="37" t="s">
        <v>62</v>
      </c>
      <c r="C62" s="7"/>
      <c r="E62" s="7"/>
      <c r="F62" s="43">
        <f>F9/(F118)*1000</f>
        <v>48.273550117331546</v>
      </c>
      <c r="G62" s="43">
        <f>G9/(G118)*1000</f>
        <v>52.263284495954515</v>
      </c>
      <c r="H62" s="43">
        <f>H9/(H118)*1000</f>
        <v>58.603757472245945</v>
      </c>
      <c r="I62" s="43">
        <f>ROUND(I9/(I118)*1000,2)</f>
        <v>66.19</v>
      </c>
      <c r="J62" s="43">
        <f>J9/(J118)*1000</f>
        <v>56.320985617248304</v>
      </c>
      <c r="K62" s="43"/>
      <c r="L62" s="43">
        <f>L9/(L118)*1000+0.01</f>
        <v>78.92430007539582</v>
      </c>
      <c r="M62" s="43">
        <f>M9/(M118)*1000</f>
        <v>86.631274131274125</v>
      </c>
      <c r="N62" s="43">
        <f>N9/(N118)*1000</f>
        <v>80.292832683906013</v>
      </c>
      <c r="O62" s="43">
        <f>ROUND(O9/(O118)*1000,2)</f>
        <v>73.97</v>
      </c>
      <c r="P62" s="43">
        <f>P9/(P118)*1000</f>
        <v>79.954018120490673</v>
      </c>
      <c r="R62" s="43">
        <f>R9/(R118)*1000</f>
        <v>88.974614235938276</v>
      </c>
      <c r="S62" s="43">
        <f>S9/(S118)*1000</f>
        <v>56.988629047371958</v>
      </c>
      <c r="T62" s="43">
        <f>T9/(T118)*1000</f>
        <v>64.935064935064929</v>
      </c>
      <c r="U62" s="43">
        <f>ROUND(U9/(U118)*1000,2)</f>
        <v>63.59</v>
      </c>
      <c r="V62" s="43">
        <f>V9/(V118)*1000</f>
        <v>68.786833274441605</v>
      </c>
      <c r="X62" s="43">
        <f>X9/(X118)*1000</f>
        <v>61.830440466221702</v>
      </c>
      <c r="Y62" s="43">
        <f>Y9/(Y118)*1000</f>
        <v>59.962159802066658</v>
      </c>
      <c r="Z62" s="43">
        <f>Z9/(Z118)*1000</f>
        <v>65.344749887336647</v>
      </c>
      <c r="AA62" s="43">
        <f>ROUND(AA9/(AA118)*1000,2)</f>
        <v>63.65</v>
      </c>
      <c r="AB62" s="43">
        <f>AB9/(AB118)*1000</f>
        <v>63.267369349266303</v>
      </c>
      <c r="AD62" s="43">
        <f>AD9/(AD118)*1000</f>
        <v>64.323927078476771</v>
      </c>
      <c r="AE62" s="43">
        <f>AE9/(AE118)*1000</f>
        <v>56.224320622792469</v>
      </c>
      <c r="AF62" s="43">
        <f>AF9/(AF118)*1000</f>
        <v>0</v>
      </c>
      <c r="AG62" s="43">
        <f>ROUND(AG9/(AG118)*1000,2)</f>
        <v>0</v>
      </c>
      <c r="AH62" s="43">
        <f>AH9/(AH118)*1000</f>
        <v>60.301371617544518</v>
      </c>
    </row>
    <row r="63" spans="1:34" x14ac:dyDescent="0.2">
      <c r="B63" s="37" t="s">
        <v>56</v>
      </c>
      <c r="C63" s="7"/>
      <c r="E63" s="7"/>
      <c r="F63" s="61">
        <f t="shared" ref="F63:J65" si="51">F10/(F$118)*1000</f>
        <v>-23.80154207173986</v>
      </c>
      <c r="G63" s="61">
        <f t="shared" si="51"/>
        <v>-28.974415044828341</v>
      </c>
      <c r="H63" s="61">
        <f t="shared" si="51"/>
        <v>-13.34329632792485</v>
      </c>
      <c r="I63" s="61">
        <f t="shared" si="51"/>
        <v>-8.2031688953815038</v>
      </c>
      <c r="J63" s="61">
        <f t="shared" si="51"/>
        <v>-18.590325330693286</v>
      </c>
      <c r="K63" s="61"/>
      <c r="L63" s="61">
        <f t="shared" ref="L63:P64" si="52">L10/(L$118)*1000</f>
        <v>-70.620758984669521</v>
      </c>
      <c r="M63" s="61">
        <f t="shared" si="52"/>
        <v>-12.065637065637066</v>
      </c>
      <c r="N63" s="61">
        <f t="shared" si="52"/>
        <v>28.692879914984058</v>
      </c>
      <c r="O63" s="61">
        <f t="shared" si="52"/>
        <v>-15.824491997842115</v>
      </c>
      <c r="P63" s="61">
        <f t="shared" si="52"/>
        <v>-16.668431322130292</v>
      </c>
      <c r="R63" s="61">
        <f t="shared" ref="R63:V65" si="53">R10/(R$118)*1000</f>
        <v>5.2264808362369344</v>
      </c>
      <c r="S63" s="61">
        <f t="shared" si="53"/>
        <v>3.9522315446723275</v>
      </c>
      <c r="T63" s="61">
        <f t="shared" si="53"/>
        <v>-25.974025974025977</v>
      </c>
      <c r="U63" s="61">
        <f t="shared" si="53"/>
        <v>15.668202764976959</v>
      </c>
      <c r="V63" s="61">
        <f t="shared" si="53"/>
        <v>-0.38303573053053325</v>
      </c>
      <c r="X63" s="61">
        <f t="shared" ref="X63:AB63" si="54">X10/(X$118)*1000</f>
        <v>-10.233009960610119</v>
      </c>
      <c r="Y63" s="61">
        <f t="shared" si="54"/>
        <v>0.7276961141027507</v>
      </c>
      <c r="Z63" s="61">
        <f t="shared" si="54"/>
        <v>26.738771218266486</v>
      </c>
      <c r="AA63" s="61">
        <f t="shared" si="54"/>
        <v>-3.7761061871885193</v>
      </c>
      <c r="AB63" s="61">
        <f t="shared" si="54"/>
        <v>6.0100260201707441</v>
      </c>
      <c r="AD63" s="61">
        <f t="shared" ref="AD63:AH63" si="55">AD10/(AD$118)*1000</f>
        <v>0.4741321406275929</v>
      </c>
      <c r="AE63" s="61">
        <f t="shared" si="55"/>
        <v>12.574385096550454</v>
      </c>
      <c r="AF63" s="61">
        <f t="shared" si="55"/>
        <v>0</v>
      </c>
      <c r="AG63" s="61">
        <f t="shared" si="55"/>
        <v>0</v>
      </c>
      <c r="AH63" s="61">
        <f t="shared" si="55"/>
        <v>6.4835907477966739</v>
      </c>
    </row>
    <row r="64" spans="1:34" x14ac:dyDescent="0.2">
      <c r="B64" s="37" t="s">
        <v>85</v>
      </c>
      <c r="C64" s="7"/>
      <c r="E64" s="7"/>
      <c r="F64" s="61">
        <f t="shared" si="51"/>
        <v>10.95094423957984</v>
      </c>
      <c r="G64" s="61">
        <f t="shared" si="51"/>
        <v>5.2481959326481524</v>
      </c>
      <c r="H64" s="61">
        <f t="shared" si="51"/>
        <v>10.140905209222886</v>
      </c>
      <c r="I64" s="61">
        <f t="shared" si="51"/>
        <v>7.9784245420833795</v>
      </c>
      <c r="J64" s="61">
        <f t="shared" si="51"/>
        <v>8.5801501526276702</v>
      </c>
      <c r="K64" s="61"/>
      <c r="L64" s="61">
        <f t="shared" si="52"/>
        <v>6.2829856747926618</v>
      </c>
      <c r="M64" s="61">
        <f t="shared" si="52"/>
        <v>9.0492277992277987</v>
      </c>
      <c r="N64" s="61">
        <f t="shared" si="52"/>
        <v>12.870468768449641</v>
      </c>
      <c r="O64" s="61">
        <f t="shared" si="52"/>
        <v>11.62860396811125</v>
      </c>
      <c r="P64" s="61">
        <f t="shared" si="52"/>
        <v>10.013159287885893</v>
      </c>
      <c r="R64" s="61">
        <f t="shared" si="53"/>
        <v>23.270283723245395</v>
      </c>
      <c r="S64" s="61">
        <f t="shared" si="53"/>
        <v>9.1793764908518583</v>
      </c>
      <c r="T64" s="61">
        <f t="shared" si="53"/>
        <v>9.8039215686274517</v>
      </c>
      <c r="U64" s="61">
        <f t="shared" si="53"/>
        <v>9.3482554312047395</v>
      </c>
      <c r="V64" s="61">
        <f t="shared" si="53"/>
        <v>12.991295193827252</v>
      </c>
      <c r="X64" s="61">
        <f t="shared" ref="X64:AB64" si="56">X11/(X$118)*1000</f>
        <v>10.665390663171108</v>
      </c>
      <c r="Y64" s="61">
        <f t="shared" si="56"/>
        <v>7.4225003638480569</v>
      </c>
      <c r="Z64" s="61">
        <f t="shared" si="56"/>
        <v>3.8305543037404237</v>
      </c>
      <c r="AA64" s="61">
        <f t="shared" si="56"/>
        <v>4.5467401029412784</v>
      </c>
      <c r="AB64" s="61">
        <f t="shared" si="56"/>
        <v>5.8603988163490657</v>
      </c>
      <c r="AD64" s="61">
        <f t="shared" ref="AD64:AH64" si="57">AD11/(AD$118)*1000</f>
        <v>5.0574095000276573</v>
      </c>
      <c r="AE64" s="61">
        <f t="shared" si="57"/>
        <v>4.4851309898523901</v>
      </c>
      <c r="AF64" s="61">
        <f t="shared" si="57"/>
        <v>0</v>
      </c>
      <c r="AG64" s="61">
        <f t="shared" si="57"/>
        <v>0</v>
      </c>
      <c r="AH64" s="61">
        <f t="shared" si="57"/>
        <v>4.7731956425496982</v>
      </c>
    </row>
    <row r="65" spans="2:34" x14ac:dyDescent="0.2">
      <c r="B65" s="37" t="s">
        <v>43</v>
      </c>
      <c r="C65" s="7"/>
      <c r="E65" s="82"/>
      <c r="F65" s="61">
        <f t="shared" si="51"/>
        <v>3.6875628561850489</v>
      </c>
      <c r="G65" s="61">
        <f t="shared" si="51"/>
        <v>3.6081347036956046</v>
      </c>
      <c r="H65" s="61">
        <f t="shared" si="51"/>
        <v>6.9385140905209219</v>
      </c>
      <c r="I65" s="61">
        <f t="shared" si="51"/>
        <v>4.60725924261153</v>
      </c>
      <c r="J65" s="61">
        <f t="shared" si="51"/>
        <v>4.7300827764485875</v>
      </c>
      <c r="K65" s="61"/>
      <c r="L65" s="61">
        <f>L12/(L$118)*1000</f>
        <v>4.2724302588590097</v>
      </c>
      <c r="M65" s="61">
        <f>M12/(M$118)*1000</f>
        <v>5.9121621621621623</v>
      </c>
      <c r="N65" s="61">
        <f>N12/(N$118)*1000+0.01</f>
        <v>10.400837170858425</v>
      </c>
      <c r="O65" s="61">
        <f>O12/(O$118)*1000</f>
        <v>10.789426362165079</v>
      </c>
      <c r="P65" s="61">
        <f>P12/(P$118)*1000</f>
        <v>7.8955727315354016</v>
      </c>
      <c r="R65" s="61">
        <f t="shared" si="53"/>
        <v>8.4619213539074156</v>
      </c>
      <c r="S65" s="61">
        <f t="shared" si="53"/>
        <v>4.334705565124489</v>
      </c>
      <c r="T65" s="61">
        <f t="shared" si="53"/>
        <v>8.5306850012732358</v>
      </c>
      <c r="U65" s="61">
        <f t="shared" si="53"/>
        <v>5.5299539170506913</v>
      </c>
      <c r="V65" s="61">
        <f t="shared" si="53"/>
        <v>6.7350449284952099</v>
      </c>
      <c r="X65" s="61">
        <f t="shared" ref="X65:AB65" si="58">X12/(X$118)*1000</f>
        <v>2.1619035128049546</v>
      </c>
      <c r="Y65" s="61">
        <f t="shared" si="58"/>
        <v>5.2394120215398052</v>
      </c>
      <c r="Z65" s="61">
        <f t="shared" si="58"/>
        <v>5.1825146462370437</v>
      </c>
      <c r="AA65" s="61">
        <f t="shared" si="58"/>
        <v>3.0054722714357607</v>
      </c>
      <c r="AB65" s="61">
        <f t="shared" si="58"/>
        <v>3.9651209012744744</v>
      </c>
      <c r="AD65" s="61">
        <f t="shared" ref="AD65:AH65" si="59">AD12/(AD$118)*1000</f>
        <v>1.7384845156345072</v>
      </c>
      <c r="AE65" s="61">
        <f t="shared" si="59"/>
        <v>4.6453142394899762</v>
      </c>
      <c r="AF65" s="61">
        <f t="shared" si="59"/>
        <v>0</v>
      </c>
      <c r="AG65" s="61">
        <f t="shared" si="59"/>
        <v>0</v>
      </c>
      <c r="AH65" s="61">
        <f t="shared" si="59"/>
        <v>3.1821304283664653</v>
      </c>
    </row>
    <row r="66" spans="2:34" x14ac:dyDescent="0.2">
      <c r="B66" s="37" t="s">
        <v>87</v>
      </c>
      <c r="C66" s="7"/>
      <c r="E66" s="82"/>
      <c r="F66" s="45">
        <f>F13/(F118)*1000</f>
        <v>1.4526762766789585</v>
      </c>
      <c r="G66" s="45">
        <f>G13/(G118)*1000</f>
        <v>1.0933741526350316</v>
      </c>
      <c r="H66" s="45">
        <f>H13/(H118)*1000</f>
        <v>0.42698548249359519</v>
      </c>
      <c r="I66" s="45">
        <f>I13/(I118)*1000</f>
        <v>0.67423305989437021</v>
      </c>
      <c r="J66" s="45">
        <f>J13/(J118)*1000</f>
        <v>0.90751588152792673</v>
      </c>
      <c r="K66" s="44"/>
      <c r="L66" s="45">
        <f>L13/(L118)*1000</f>
        <v>0.37697914048755971</v>
      </c>
      <c r="M66" s="45">
        <f>M13/(M118)*1000</f>
        <v>0.60328185328185324</v>
      </c>
      <c r="N66" s="45">
        <f>N13/(N118)*1000</f>
        <v>0.59038847561695595</v>
      </c>
      <c r="O66" s="45">
        <f>O13/(O118)*1000</f>
        <v>1.1988251513516752</v>
      </c>
      <c r="P66" s="45">
        <f>P13/(P118)*1000</f>
        <v>0.69577843994373267</v>
      </c>
      <c r="R66" s="45">
        <f>R13/(R118)*1000</f>
        <v>1.4932802389248383</v>
      </c>
      <c r="S66" s="45">
        <f>S13/(S118)*1000</f>
        <v>0.89243938105504184</v>
      </c>
      <c r="T66" s="45">
        <f>T13/(T118)*1000</f>
        <v>1.2732365673542145</v>
      </c>
      <c r="U66" s="45">
        <f>U13/(U118)*1000</f>
        <v>1.4483212639894669</v>
      </c>
      <c r="V66" s="45">
        <f>V13/(V118)*1000</f>
        <v>1.2767857684351107</v>
      </c>
      <c r="X66" s="45">
        <f>X13/(X118)*1000</f>
        <v>1.0088883059756455</v>
      </c>
      <c r="Y66" s="45">
        <f>Y13/(Y118)*1000</f>
        <v>1.4553922282055014</v>
      </c>
      <c r="Z66" s="45">
        <f>Z13/(Z118)*1000</f>
        <v>0.52576235541535221</v>
      </c>
      <c r="AA66" s="45">
        <f>AA13/(AA118)*1000</f>
        <v>0.15412678315055181</v>
      </c>
      <c r="AB66" s="45">
        <f>AB13/(AB118)*1000</f>
        <v>0.64838454989393923</v>
      </c>
      <c r="AD66" s="45">
        <f>AD13/(AD118)*1000</f>
        <v>0.4741321406275929</v>
      </c>
      <c r="AE66" s="45">
        <f>AE13/(AE118)*1000</f>
        <v>0.40045812409396347</v>
      </c>
      <c r="AF66" s="45">
        <f>AF13/(AF118)*1000</f>
        <v>0</v>
      </c>
      <c r="AG66" s="45">
        <f>AG13/(AG118)*1000</f>
        <v>0</v>
      </c>
      <c r="AH66" s="45">
        <f>AH13/(AH118)*1000</f>
        <v>0.43754293390038901</v>
      </c>
    </row>
    <row r="67" spans="2:34" x14ac:dyDescent="0.2">
      <c r="B67" s="6" t="s">
        <v>76</v>
      </c>
      <c r="C67" s="7"/>
      <c r="E67" s="82"/>
      <c r="F67" s="44">
        <f>SUM(F62:F66)</f>
        <v>40.56319141803553</v>
      </c>
      <c r="G67" s="44">
        <f>SUM(G62:G66)</f>
        <v>33.23857424010496</v>
      </c>
      <c r="H67" s="52">
        <f>SUM(H62:H66)</f>
        <v>62.766865926558495</v>
      </c>
      <c r="I67" s="52">
        <f>SUM(I62:I66)</f>
        <v>71.246747949207787</v>
      </c>
      <c r="J67" s="52">
        <f>SUM(J62:J66)</f>
        <v>51.948409097159207</v>
      </c>
      <c r="K67" s="52"/>
      <c r="L67" s="44">
        <f>SUM(L62:L66)-0.01</f>
        <v>19.22593616486553</v>
      </c>
      <c r="M67" s="44">
        <f>SUM(M62:M66)-0.01</f>
        <v>90.120308880308869</v>
      </c>
      <c r="N67" s="52">
        <f>SUM(N62:N66)-0.01</f>
        <v>132.8374070138151</v>
      </c>
      <c r="O67" s="52">
        <f>SUM(O62:O66)</f>
        <v>81.762363483785876</v>
      </c>
      <c r="P67" s="52">
        <f>SUM(P62:P66)</f>
        <v>81.890097257725415</v>
      </c>
      <c r="Q67" s="52"/>
      <c r="R67" s="44">
        <f>SUM(R62:R66)</f>
        <v>127.42658038825286</v>
      </c>
      <c r="S67" s="44">
        <f>SUM(S62:S66)</f>
        <v>75.347382029075689</v>
      </c>
      <c r="T67" s="52">
        <f>SUM(T62:T66)+0.01</f>
        <v>58.578882098293853</v>
      </c>
      <c r="U67" s="52">
        <f>SUM(U62:U66)</f>
        <v>95.584733377221852</v>
      </c>
      <c r="V67" s="52">
        <f>SUM(V62:V66)</f>
        <v>89.406923434668641</v>
      </c>
      <c r="W67" s="52"/>
      <c r="X67" s="44">
        <f>SUM(X62:X66)</f>
        <v>65.433612987563293</v>
      </c>
      <c r="Y67" s="44">
        <f>SUM(Y62:Y66)</f>
        <v>74.807160529762768</v>
      </c>
      <c r="Z67" s="52">
        <f>SUM(Z62:Z66)</f>
        <v>101.62235241099594</v>
      </c>
      <c r="AA67" s="52">
        <f>SUM(AA62:AA66)</f>
        <v>67.580232970339068</v>
      </c>
      <c r="AB67" s="52">
        <f>SUM(AB62:AB66)</f>
        <v>79.751299636954514</v>
      </c>
      <c r="AC67" s="52"/>
      <c r="AD67" s="44">
        <f>SUM(AD62:AD66)</f>
        <v>72.068085375394119</v>
      </c>
      <c r="AE67" s="44">
        <f>SUM(AE62:AE66)</f>
        <v>78.329609072779249</v>
      </c>
      <c r="AF67" s="52">
        <f>SUM(AF62:AF66)</f>
        <v>0</v>
      </c>
      <c r="AG67" s="52">
        <f>SUM(AG62:AG66)</f>
        <v>0</v>
      </c>
      <c r="AH67" s="52">
        <f>SUM(AH62:AH66)</f>
        <v>75.177831370157733</v>
      </c>
    </row>
    <row r="68" spans="2:34" ht="11.65" customHeight="1" x14ac:dyDescent="0.2">
      <c r="B68" s="6"/>
      <c r="C68" s="7"/>
      <c r="E68" s="82"/>
      <c r="F68" s="32"/>
      <c r="G68" s="32"/>
      <c r="H68" s="60"/>
      <c r="I68" s="60"/>
      <c r="J68" s="60"/>
      <c r="K68" s="60"/>
      <c r="L68" s="32"/>
      <c r="M68" s="32"/>
      <c r="N68" s="60"/>
      <c r="O68" s="60"/>
      <c r="P68" s="60"/>
      <c r="R68" s="32"/>
      <c r="S68" s="32"/>
      <c r="T68" s="60"/>
      <c r="U68" s="60"/>
      <c r="V68" s="60"/>
      <c r="X68" s="32"/>
      <c r="Y68" s="32"/>
      <c r="Z68" s="60"/>
      <c r="AA68" s="60"/>
      <c r="AB68" s="60"/>
      <c r="AD68" s="32"/>
      <c r="AE68" s="32"/>
      <c r="AF68" s="60"/>
      <c r="AG68" s="60"/>
      <c r="AH68" s="60"/>
    </row>
    <row r="69" spans="2:34" x14ac:dyDescent="0.2">
      <c r="B69" s="1" t="s">
        <v>51</v>
      </c>
      <c r="C69" s="7"/>
      <c r="E69" s="82"/>
      <c r="F69" s="32"/>
      <c r="G69" s="32"/>
      <c r="H69" s="60"/>
      <c r="I69" s="60"/>
      <c r="J69" s="60"/>
      <c r="K69" s="60"/>
      <c r="L69" s="32"/>
      <c r="M69" s="32"/>
      <c r="N69" s="60"/>
      <c r="O69" s="60"/>
      <c r="P69" s="60"/>
      <c r="R69" s="32"/>
      <c r="S69" s="32"/>
      <c r="T69" s="60"/>
      <c r="U69" s="60"/>
      <c r="V69" s="60"/>
      <c r="X69" s="32"/>
      <c r="Y69" s="32"/>
      <c r="Z69" s="60"/>
      <c r="AA69" s="60"/>
      <c r="AB69" s="60"/>
      <c r="AD69" s="32"/>
      <c r="AE69" s="32"/>
      <c r="AF69" s="60"/>
      <c r="AG69" s="60"/>
      <c r="AH69" s="60"/>
    </row>
    <row r="70" spans="2:34" x14ac:dyDescent="0.2">
      <c r="B70" s="37" t="s">
        <v>48</v>
      </c>
      <c r="C70" s="7"/>
      <c r="E70" s="82"/>
      <c r="F70" s="44">
        <f>F17/(F118)*1000</f>
        <v>18.32606995194994</v>
      </c>
      <c r="G70" s="44">
        <f>G17/(G118)*1000</f>
        <v>18.478023179532034</v>
      </c>
      <c r="H70" s="52">
        <f>H17/(H118)*1000</f>
        <v>20.281810418445772</v>
      </c>
      <c r="I70" s="52">
        <f>I17/(I118)*1000</f>
        <v>20.451736150129225</v>
      </c>
      <c r="J70" s="52">
        <f>J17/(J118)*1000</f>
        <v>19.387839287187525</v>
      </c>
      <c r="K70" s="52"/>
      <c r="L70" s="44">
        <f>L17/(L118)*1000</f>
        <v>22.870067856245289</v>
      </c>
      <c r="M70" s="44">
        <f>M17/(M118)*1000</f>
        <v>22.924710424710423</v>
      </c>
      <c r="N70" s="52">
        <f>N17/(N118)*1000</f>
        <v>25.268626756405716</v>
      </c>
      <c r="O70" s="52">
        <f>O17/(O118)*1000</f>
        <v>23.856620511898338</v>
      </c>
      <c r="P70" s="52">
        <f>P17/(P118)*1000</f>
        <v>23.74722066764479</v>
      </c>
      <c r="R70" s="44">
        <f>R17/(R118)*1000</f>
        <v>31.607765057242407</v>
      </c>
      <c r="S70" s="44">
        <f>S17/(S118)*1000</f>
        <v>23.713389268033968</v>
      </c>
      <c r="T70" s="52">
        <f>T17/(T118)*1000</f>
        <v>24.955436720142604</v>
      </c>
      <c r="U70" s="52">
        <f>U17/(U118)*1000</f>
        <v>24.489795918367346</v>
      </c>
      <c r="V70" s="52">
        <f>V17/(V118)*1000</f>
        <v>26.23794754134153</v>
      </c>
      <c r="X70" s="44">
        <f>X17/(X118)*1000</f>
        <v>25.366334550244797</v>
      </c>
      <c r="Y70" s="44">
        <f>Y17/(Y118)*1000</f>
        <v>22.704118760005819</v>
      </c>
      <c r="Z70" s="52">
        <f>Z17/(Z118)*1000</f>
        <v>23.358870362024934</v>
      </c>
      <c r="AA70" s="52">
        <f>AA17/(AA118)*1000</f>
        <v>24.891475478814115</v>
      </c>
      <c r="AB70" s="52">
        <f>AB17/(AB118)*1000</f>
        <v>24.089979815290199</v>
      </c>
      <c r="AD70" s="44">
        <f>AD17/(AD118)*1000</f>
        <v>24.970959406386559</v>
      </c>
      <c r="AE70" s="44">
        <f>AE17/(AE118)*1000</f>
        <v>23.627029321543844</v>
      </c>
      <c r="AF70" s="52">
        <f>AF17/(AF118)*1000</f>
        <v>0</v>
      </c>
      <c r="AG70" s="52">
        <f>AG17/(AG118)*1000</f>
        <v>0</v>
      </c>
      <c r="AH70" s="52">
        <f>AH17/(AH118)*1000</f>
        <v>24.30352114664888</v>
      </c>
    </row>
    <row r="71" spans="2:34" x14ac:dyDescent="0.2">
      <c r="B71" s="37" t="s">
        <v>70</v>
      </c>
      <c r="C71" s="7"/>
      <c r="E71" s="82"/>
      <c r="F71" s="44">
        <f>F18/(F118)*1000</f>
        <v>5.3637277908146164</v>
      </c>
      <c r="G71" s="44">
        <f>G18/(G118)*1000</f>
        <v>5.2481959326481524</v>
      </c>
      <c r="H71" s="52">
        <f>H18/(H118)*1000</f>
        <v>5.4440649017933387</v>
      </c>
      <c r="I71" s="52">
        <f>I18/(I118)*1000</f>
        <v>5.95572536240027</v>
      </c>
      <c r="J71" s="52">
        <f>J18/(J118)*1000</f>
        <v>5.500096251684405</v>
      </c>
      <c r="K71" s="52"/>
      <c r="L71" s="44">
        <f>L18/(L118)*1000</f>
        <v>6.0316662478009553</v>
      </c>
      <c r="M71" s="44">
        <f>M18/(M118)*1000</f>
        <v>6.756756756756757</v>
      </c>
      <c r="N71" s="52">
        <f>N18/(N118)*1000</f>
        <v>6.9665840122800802</v>
      </c>
      <c r="O71" s="52">
        <f>O18/(O118)*1000</f>
        <v>7.0730683929748848</v>
      </c>
      <c r="P71" s="52">
        <f>P18/(P118)*1000</f>
        <v>6.7157745072829851</v>
      </c>
      <c r="R71" s="44">
        <f>R18/(R118)*1000</f>
        <v>8.0886012941762075</v>
      </c>
      <c r="S71" s="44">
        <f>S18/(S118)*1000</f>
        <v>9.0518851507011373</v>
      </c>
      <c r="T71" s="52">
        <f>T18/(T118)*1000</f>
        <v>8.2760376878023934</v>
      </c>
      <c r="U71" s="52">
        <f>U18/(U118)*1000</f>
        <v>8.6899275839368002</v>
      </c>
      <c r="V71" s="52">
        <f>V18/(V118)*1000</f>
        <v>8.5225450043043658</v>
      </c>
      <c r="X71" s="44">
        <f>X18/(X118)*1000</f>
        <v>8.2152333486588258</v>
      </c>
      <c r="Y71" s="44">
        <f>Y18/(Y118)*1000</f>
        <v>9.1689710376946572</v>
      </c>
      <c r="Z71" s="52">
        <f>Z18/(Z118)*1000</f>
        <v>7.9615442391467628</v>
      </c>
      <c r="AA71" s="52">
        <f>AA18/(AA118)*1000</f>
        <v>7.3210221996512113</v>
      </c>
      <c r="AB71" s="52">
        <f>AB18/(AB118)*1000</f>
        <v>8.005055404459787</v>
      </c>
      <c r="AD71" s="44">
        <f>AD18/(AD118)*1000</f>
        <v>5.6895856875311148</v>
      </c>
      <c r="AE71" s="44">
        <f>AE18/(AE118)*1000</f>
        <v>6.327238360684623</v>
      </c>
      <c r="AF71" s="52">
        <f>AF18/(AF118)*1000</f>
        <v>0</v>
      </c>
      <c r="AG71" s="52">
        <f>AG18/(AG118)*1000</f>
        <v>0</v>
      </c>
      <c r="AH71" s="52">
        <f>AH18/(AH118)*1000</f>
        <v>6.0062711835417035</v>
      </c>
    </row>
    <row r="72" spans="2:34" x14ac:dyDescent="0.2">
      <c r="B72" s="37" t="s">
        <v>20</v>
      </c>
      <c r="C72" s="7"/>
      <c r="E72" s="82"/>
      <c r="F72" s="44">
        <f>F19/(F118)*1000</f>
        <v>5.810705106715834</v>
      </c>
      <c r="G72" s="44">
        <f>G19/(G118)*1000</f>
        <v>5.9042204242291705</v>
      </c>
      <c r="H72" s="52">
        <f>H19/(H118)*1000</f>
        <v>5.7643040136635353</v>
      </c>
      <c r="I72" s="52">
        <f>I19/(I118)*1000</f>
        <v>5.95572536240027</v>
      </c>
      <c r="J72" s="52">
        <f>J19/(J118)*1000-0.01</f>
        <v>5.8476025080438907</v>
      </c>
      <c r="K72" s="52"/>
      <c r="L72" s="44">
        <f>L19/(L118)*1000</f>
        <v>6.1573259612968085</v>
      </c>
      <c r="M72" s="44">
        <f>M19/(M118)*1000</f>
        <v>6.0328185328185331</v>
      </c>
      <c r="N72" s="52">
        <f>N19/(N118)*1000</f>
        <v>5.9038847561695604</v>
      </c>
      <c r="O72" s="52">
        <f>O19/(O118)*1000</f>
        <v>5.8742432416232093</v>
      </c>
      <c r="P72" s="52">
        <f>P19/(P118)*1000</f>
        <v>5.9897448308199595</v>
      </c>
      <c r="R72" s="44">
        <f>R19/(R118)*1000</f>
        <v>7.2175211548033849</v>
      </c>
      <c r="S72" s="44">
        <f>S19/(S118)*1000</f>
        <v>7.1395150484403347</v>
      </c>
      <c r="T72" s="52">
        <f>T19/(T118)*1000</f>
        <v>7.1301247771836005</v>
      </c>
      <c r="U72" s="52">
        <f>U19/(U118)*1000</f>
        <v>7.2416063199473335</v>
      </c>
      <c r="V72" s="52">
        <f>V19/(V118)*1000</f>
        <v>7.181919947447498</v>
      </c>
      <c r="X72" s="44">
        <f>X19/(X118)*1000</f>
        <v>7.638725745244173</v>
      </c>
      <c r="Y72" s="44">
        <f>Y19/(Y118)*1000</f>
        <v>7.7135788094891575</v>
      </c>
      <c r="Z72" s="52">
        <f>Z19/(Z118)*1000</f>
        <v>10.515247108307046</v>
      </c>
      <c r="AA72" s="52">
        <f>AA19/(AA118)*1000</f>
        <v>10.943001603689179</v>
      </c>
      <c r="AB72" s="52">
        <f>AB19/(AB118)*1000</f>
        <v>9.6758925138018625</v>
      </c>
      <c r="AD72" s="44">
        <f>AD19/(AD118)*1000</f>
        <v>10.351885070369111</v>
      </c>
      <c r="AE72" s="44">
        <f>AE19/(AE118)*1000</f>
        <v>10.251727976805466</v>
      </c>
      <c r="AF72" s="52">
        <f>AF19/(AF118)*1000</f>
        <v>0</v>
      </c>
      <c r="AG72" s="52">
        <f>AG19/(AG118)*1000</f>
        <v>0</v>
      </c>
      <c r="AH72" s="52">
        <f>AH19/(AH118)*1000</f>
        <v>10.302147261836431</v>
      </c>
    </row>
    <row r="73" spans="2:34" x14ac:dyDescent="0.2">
      <c r="B73" s="37" t="s">
        <v>21</v>
      </c>
      <c r="C73" s="7"/>
      <c r="E73" s="82"/>
      <c r="F73" s="44">
        <f>F20/(F118)*1000</f>
        <v>0.33523298692591352</v>
      </c>
      <c r="G73" s="44">
        <f>G20/(G118)*1000</f>
        <v>0</v>
      </c>
      <c r="H73" s="44">
        <f>H20/(H118)*1000</f>
        <v>2.6686592655849699</v>
      </c>
      <c r="I73" s="44">
        <f>I20/(I118)*1000</f>
        <v>0</v>
      </c>
      <c r="J73" s="44">
        <f>J20/(J118)*1000</f>
        <v>0.77001347523581654</v>
      </c>
      <c r="K73" s="44"/>
      <c r="L73" s="44">
        <f>L20/(L118)*1000</f>
        <v>0</v>
      </c>
      <c r="M73" s="44">
        <f>M20/(M118)*1000</f>
        <v>0.24131274131274133</v>
      </c>
      <c r="N73" s="44">
        <f>N20/(N118)*1000</f>
        <v>0</v>
      </c>
      <c r="O73" s="44">
        <f>O20/(O118)*1000</f>
        <v>0</v>
      </c>
      <c r="P73" s="44">
        <f>P20/(P118)*1000</f>
        <v>6.0502473038585455E-2</v>
      </c>
      <c r="R73" s="44">
        <f>R20/(R118)*1000</f>
        <v>0.37332005973120957</v>
      </c>
      <c r="S73" s="44">
        <f>S20/(S118)*1000</f>
        <v>0</v>
      </c>
      <c r="T73" s="44">
        <f>T20/(T118)*1000</f>
        <v>0</v>
      </c>
      <c r="U73" s="44">
        <f>U20/(U118)*1000</f>
        <v>0</v>
      </c>
      <c r="V73" s="44">
        <f>V20/(V118)*1000</f>
        <v>9.5758932632633312E-2</v>
      </c>
      <c r="X73" s="44">
        <f>X20/(X118)*1000</f>
        <v>0</v>
      </c>
      <c r="Y73" s="44">
        <f>Y20/(Y118)*1000</f>
        <v>1.8920098966671519</v>
      </c>
      <c r="Z73" s="44">
        <f>Z20/(Z118)*1000</f>
        <v>0</v>
      </c>
      <c r="AA73" s="44">
        <f>AA20/(AA118)*1000</f>
        <v>7.7063391575275905E-2</v>
      </c>
      <c r="AB73" s="44">
        <f>AB20/(AB118)*1000</f>
        <v>0.34913014225058264</v>
      </c>
      <c r="AD73" s="44">
        <f>AD20/(AD118)*1000</f>
        <v>0</v>
      </c>
      <c r="AE73" s="44">
        <f>AE20/(AE118)*1000</f>
        <v>0</v>
      </c>
      <c r="AF73" s="44">
        <f>AF20/(AF118)*1000</f>
        <v>0</v>
      </c>
      <c r="AG73" s="44">
        <f>AG20/(AG118)*1000</f>
        <v>0</v>
      </c>
      <c r="AH73" s="44">
        <f>AH20/(AH118)*1000</f>
        <v>0</v>
      </c>
    </row>
    <row r="74" spans="2:34" x14ac:dyDescent="0.2">
      <c r="B74" s="37" t="s">
        <v>22</v>
      </c>
      <c r="C74" s="7"/>
      <c r="E74" s="82"/>
      <c r="F74" s="44">
        <f>F21/(F118)*1000</f>
        <v>4.4697731590121803</v>
      </c>
      <c r="G74" s="44">
        <f>G21/(G118)*1000</f>
        <v>4.0454843647496173</v>
      </c>
      <c r="H74" s="52">
        <f>H21/(H118)*1000</f>
        <v>3.842869342442357</v>
      </c>
      <c r="I74" s="52">
        <f>I21/(I118)*1000+0.01</f>
        <v>3.6059096527699741</v>
      </c>
      <c r="J74" s="52">
        <f>J21/(J118)*1000+0.01</f>
        <v>3.9975697824711935</v>
      </c>
      <c r="K74" s="52"/>
      <c r="L74" s="44">
        <f>L21/(L118)*1000+0.01</f>
        <v>4.2824302588590095</v>
      </c>
      <c r="M74" s="44">
        <f>M21/(M118)*1000</f>
        <v>5.0675675675675675</v>
      </c>
      <c r="N74" s="52">
        <f>N21/(N118)*1000</f>
        <v>5.1954185854292128</v>
      </c>
      <c r="O74" s="52">
        <f>O21/(O118)*1000</f>
        <v>5.0350656356770358</v>
      </c>
      <c r="P74" s="52">
        <f>P21/(P118)*1000</f>
        <v>4.9007003161254215</v>
      </c>
      <c r="R74" s="44">
        <f>R21/(R118)*1000</f>
        <v>5.2264808362369344</v>
      </c>
      <c r="S74" s="44">
        <f>S21/(S118)*1000</f>
        <v>5.3546362863302503</v>
      </c>
      <c r="T74" s="52">
        <f>T21/(T118)*1000</f>
        <v>6.1115355233002289</v>
      </c>
      <c r="U74" s="52">
        <f>U21/(U118)*1000</f>
        <v>4.3449637919684001</v>
      </c>
      <c r="V74" s="52">
        <f>V21/(V118)*1000</f>
        <v>5.2667412947948318</v>
      </c>
      <c r="X74" s="44">
        <f>X21/(X118)*1000</f>
        <v>5.4768222324392184</v>
      </c>
      <c r="Y74" s="44">
        <f>Y21/(Y118)*1000</f>
        <v>5.6760296900014549</v>
      </c>
      <c r="Z74" s="52">
        <f>Z21/(Z118)*1000</f>
        <v>6.384257172900706</v>
      </c>
      <c r="AA74" s="52">
        <f>AA21/(AA118)*1000</f>
        <v>6.1650713260220726</v>
      </c>
      <c r="AB74" s="52">
        <f>AB21/(AB118)*1000</f>
        <v>6.0349638874743574</v>
      </c>
      <c r="AD74" s="44">
        <f>AD21/(AD118)*1000</f>
        <v>5.5315416406552504</v>
      </c>
      <c r="AE74" s="44">
        <f>AE21/(AE118)*1000</f>
        <v>3.7643063664832566</v>
      </c>
      <c r="AF74" s="52">
        <f>AF21/(AF118)*1000</f>
        <v>0</v>
      </c>
      <c r="AG74" s="52">
        <f>AG21/(AG118)*1000</f>
        <v>0</v>
      </c>
      <c r="AH74" s="52">
        <f>AH21/(AH118)*1000</f>
        <v>4.6538657514859549</v>
      </c>
    </row>
    <row r="75" spans="2:34" x14ac:dyDescent="0.2">
      <c r="B75" s="37" t="s">
        <v>95</v>
      </c>
      <c r="C75" s="7"/>
      <c r="E75" s="82"/>
      <c r="F75" s="44">
        <f t="shared" ref="F75:J81" si="60">F22/(F$118)*1000</f>
        <v>0</v>
      </c>
      <c r="G75" s="44">
        <f t="shared" si="60"/>
        <v>0</v>
      </c>
      <c r="H75" s="52">
        <f t="shared" si="60"/>
        <v>0</v>
      </c>
      <c r="I75" s="52">
        <f t="shared" si="60"/>
        <v>0</v>
      </c>
      <c r="J75" s="52">
        <f t="shared" si="60"/>
        <v>0</v>
      </c>
      <c r="K75" s="52"/>
      <c r="L75" s="44">
        <f t="shared" ref="L75:P81" si="61">L22/(L$118)*1000</f>
        <v>0</v>
      </c>
      <c r="M75" s="44">
        <f t="shared" si="61"/>
        <v>0</v>
      </c>
      <c r="N75" s="52">
        <f t="shared" si="61"/>
        <v>0</v>
      </c>
      <c r="O75" s="52">
        <f t="shared" si="61"/>
        <v>0</v>
      </c>
      <c r="P75" s="52">
        <f t="shared" si="61"/>
        <v>0</v>
      </c>
      <c r="R75" s="44">
        <f t="shared" ref="R75:V81" si="62">R22/(R$118)*1000</f>
        <v>0</v>
      </c>
      <c r="S75" s="44">
        <f t="shared" si="62"/>
        <v>0</v>
      </c>
      <c r="T75" s="52">
        <f t="shared" si="62"/>
        <v>0</v>
      </c>
      <c r="U75" s="52">
        <f t="shared" si="62"/>
        <v>1.053324555628703</v>
      </c>
      <c r="V75" s="52">
        <f t="shared" si="62"/>
        <v>0.25535715368702216</v>
      </c>
      <c r="X75" s="44">
        <f t="shared" ref="X75:AB75" si="63">X22/(X$118)*1000</f>
        <v>0.14412690085366364</v>
      </c>
      <c r="Y75" s="44">
        <f t="shared" si="63"/>
        <v>0.14553922282055012</v>
      </c>
      <c r="Z75" s="52">
        <f t="shared" si="63"/>
        <v>0.67598017124831011</v>
      </c>
      <c r="AA75" s="52">
        <f t="shared" si="63"/>
        <v>1.4642044399302421</v>
      </c>
      <c r="AB75" s="52">
        <f t="shared" si="63"/>
        <v>0.74813601910839134</v>
      </c>
      <c r="AD75" s="44">
        <f t="shared" ref="AD75:AH75" si="64">AD22/(AD$118)*1000</f>
        <v>-0.4741321406275929</v>
      </c>
      <c r="AE75" s="44">
        <f t="shared" si="64"/>
        <v>0.24027487445637807</v>
      </c>
      <c r="AF75" s="52">
        <f t="shared" si="64"/>
        <v>0</v>
      </c>
      <c r="AG75" s="52">
        <f t="shared" si="64"/>
        <v>0</v>
      </c>
      <c r="AH75" s="52">
        <f t="shared" si="64"/>
        <v>-0.11932989106374245</v>
      </c>
    </row>
    <row r="76" spans="2:34" x14ac:dyDescent="0.2">
      <c r="B76" s="37" t="s">
        <v>86</v>
      </c>
      <c r="C76" s="7"/>
      <c r="E76" s="82"/>
      <c r="F76" s="44">
        <f t="shared" si="60"/>
        <v>6.8164040674935746</v>
      </c>
      <c r="G76" s="44">
        <f t="shared" si="60"/>
        <v>3.2801224579050952</v>
      </c>
      <c r="H76" s="52">
        <f t="shared" si="60"/>
        <v>5.6575576430401364</v>
      </c>
      <c r="I76" s="52">
        <f t="shared" si="60"/>
        <v>5.8433531857512078</v>
      </c>
      <c r="J76" s="52">
        <f t="shared" si="60"/>
        <v>5.3900943266507166</v>
      </c>
      <c r="K76" s="52"/>
      <c r="L76" s="44">
        <f t="shared" si="61"/>
        <v>4.6494093993465695</v>
      </c>
      <c r="M76" s="44">
        <f t="shared" si="61"/>
        <v>8.0839768339768341</v>
      </c>
      <c r="N76" s="52">
        <f t="shared" si="61"/>
        <v>11.217381036722164</v>
      </c>
      <c r="O76" s="52">
        <f t="shared" si="61"/>
        <v>10.309896301624409</v>
      </c>
      <c r="P76" s="52">
        <f t="shared" si="61"/>
        <v>8.6216024079984273</v>
      </c>
      <c r="R76" s="44">
        <f t="shared" si="62"/>
        <v>15.430562468889995</v>
      </c>
      <c r="S76" s="44">
        <f t="shared" si="62"/>
        <v>3.4422661840694468</v>
      </c>
      <c r="T76" s="52">
        <f t="shared" si="62"/>
        <v>3.9470333587980648</v>
      </c>
      <c r="U76" s="52">
        <f t="shared" si="62"/>
        <v>5.5299539170506913</v>
      </c>
      <c r="V76" s="52">
        <f t="shared" si="62"/>
        <v>7.1500003032366211</v>
      </c>
      <c r="X76" s="44">
        <f t="shared" ref="X76:AB76" si="65">X23/(X$118)*1000</f>
        <v>7.7828526460978367</v>
      </c>
      <c r="Y76" s="44">
        <f t="shared" si="65"/>
        <v>6.2581865812836552</v>
      </c>
      <c r="Z76" s="52">
        <f t="shared" si="65"/>
        <v>3.2296830404085926</v>
      </c>
      <c r="AA76" s="52">
        <f t="shared" si="65"/>
        <v>4.0843597534896228</v>
      </c>
      <c r="AB76" s="52">
        <f t="shared" si="65"/>
        <v>4.8130083895973179</v>
      </c>
      <c r="AD76" s="44">
        <f t="shared" ref="AD76:AH76" si="66">AD23/(AD$118)*1000</f>
        <v>3.9511011718966076</v>
      </c>
      <c r="AE76" s="44">
        <f t="shared" si="66"/>
        <v>3.2837566175705004</v>
      </c>
      <c r="AF76" s="52">
        <f t="shared" si="66"/>
        <v>0</v>
      </c>
      <c r="AG76" s="52">
        <f t="shared" si="66"/>
        <v>0</v>
      </c>
      <c r="AH76" s="52">
        <f t="shared" si="66"/>
        <v>3.6196733622668544</v>
      </c>
    </row>
    <row r="77" spans="2:34" x14ac:dyDescent="0.2">
      <c r="B77" s="37" t="s">
        <v>52</v>
      </c>
      <c r="C77" s="7"/>
      <c r="E77" s="82"/>
      <c r="F77" s="44">
        <f t="shared" si="60"/>
        <v>2.6818638954073082</v>
      </c>
      <c r="G77" s="44">
        <f t="shared" si="60"/>
        <v>1.8587360594795539</v>
      </c>
      <c r="H77" s="52">
        <f t="shared" si="60"/>
        <v>3.0956447480785654</v>
      </c>
      <c r="I77" s="52">
        <f t="shared" si="60"/>
        <v>2.9216765928756039</v>
      </c>
      <c r="J77" s="52">
        <f t="shared" si="60"/>
        <v>2.6400462008085142</v>
      </c>
      <c r="K77" s="52"/>
      <c r="L77" s="44">
        <f t="shared" si="61"/>
        <v>3.0158331239004776</v>
      </c>
      <c r="M77" s="44">
        <f t="shared" si="61"/>
        <v>3.9816602316602316</v>
      </c>
      <c r="N77" s="52">
        <f t="shared" si="61"/>
        <v>4.9592631951824302</v>
      </c>
      <c r="O77" s="52">
        <f t="shared" si="61"/>
        <v>8.1520110291913923</v>
      </c>
      <c r="P77" s="52">
        <f t="shared" si="61"/>
        <v>5.0519564987218857</v>
      </c>
      <c r="R77" s="44">
        <f t="shared" si="62"/>
        <v>6.0975609756097562</v>
      </c>
      <c r="S77" s="44">
        <f t="shared" si="62"/>
        <v>1.6573874219593634</v>
      </c>
      <c r="T77" s="52">
        <f t="shared" si="62"/>
        <v>2.9284441049146932</v>
      </c>
      <c r="U77" s="52">
        <f t="shared" si="62"/>
        <v>2.3699802501645819</v>
      </c>
      <c r="V77" s="52">
        <f t="shared" si="62"/>
        <v>3.2877233537204105</v>
      </c>
      <c r="X77" s="44">
        <f t="shared" ref="X77:AB77" si="67">X24/(X$118)*1000</f>
        <v>1.1530152068293091</v>
      </c>
      <c r="Y77" s="44">
        <f t="shared" si="67"/>
        <v>2.0375491194877018</v>
      </c>
      <c r="Z77" s="52">
        <f t="shared" si="67"/>
        <v>0.67598017124831011</v>
      </c>
      <c r="AA77" s="52">
        <f t="shared" si="67"/>
        <v>0.69357052417748311</v>
      </c>
      <c r="AB77" s="52">
        <f t="shared" si="67"/>
        <v>0.99751469214452193</v>
      </c>
      <c r="AD77" s="44">
        <f t="shared" ref="AD77:AH77" si="68">AD24/(AD$118)*1000</f>
        <v>0.79022023437932154</v>
      </c>
      <c r="AE77" s="44">
        <f t="shared" si="68"/>
        <v>0.40045812409396347</v>
      </c>
      <c r="AF77" s="52">
        <f t="shared" si="68"/>
        <v>0</v>
      </c>
      <c r="AG77" s="52">
        <f t="shared" si="68"/>
        <v>0</v>
      </c>
      <c r="AH77" s="52">
        <f t="shared" si="68"/>
        <v>0.59664945531871227</v>
      </c>
    </row>
    <row r="78" spans="2:34" x14ac:dyDescent="0.2">
      <c r="B78" s="37" t="s">
        <v>77</v>
      </c>
      <c r="C78" s="7"/>
      <c r="E78" s="82"/>
      <c r="F78" s="44">
        <f t="shared" si="60"/>
        <v>1.3409319477036541</v>
      </c>
      <c r="G78" s="44">
        <f t="shared" si="60"/>
        <v>1.5307238136890444</v>
      </c>
      <c r="H78" s="52">
        <f t="shared" si="60"/>
        <v>1.1742100768573867</v>
      </c>
      <c r="I78" s="52">
        <f t="shared" si="60"/>
        <v>1.5732104730868637</v>
      </c>
      <c r="J78" s="52">
        <f t="shared" si="60"/>
        <v>1.4025245441795231</v>
      </c>
      <c r="K78" s="52"/>
      <c r="L78" s="44">
        <f t="shared" si="61"/>
        <v>1.5079165619502388</v>
      </c>
      <c r="M78" s="44">
        <f t="shared" si="61"/>
        <v>1.4478764478764479</v>
      </c>
      <c r="N78" s="52">
        <f t="shared" si="61"/>
        <v>1.5350100366040855</v>
      </c>
      <c r="O78" s="52">
        <f t="shared" si="61"/>
        <v>1.558472696757178</v>
      </c>
      <c r="P78" s="52">
        <f t="shared" si="61"/>
        <v>1.5125618259646363</v>
      </c>
      <c r="R78" s="44">
        <f t="shared" si="62"/>
        <v>2.1154803384768539</v>
      </c>
      <c r="S78" s="44">
        <f t="shared" si="62"/>
        <v>2.039861442411524</v>
      </c>
      <c r="T78" s="52">
        <f t="shared" si="62"/>
        <v>2.0371785077667428</v>
      </c>
      <c r="U78" s="52">
        <f t="shared" si="62"/>
        <v>2.3699802501645819</v>
      </c>
      <c r="V78" s="52">
        <f t="shared" si="62"/>
        <v>2.1386161621288107</v>
      </c>
      <c r="X78" s="44">
        <f t="shared" ref="X78:AB78" si="69">X25/(X$118)*1000</f>
        <v>2.8825380170732724</v>
      </c>
      <c r="Y78" s="44">
        <f t="shared" si="69"/>
        <v>2.4741667879493523</v>
      </c>
      <c r="Z78" s="52">
        <f t="shared" si="69"/>
        <v>1.7275048820790146</v>
      </c>
      <c r="AA78" s="52">
        <f t="shared" si="69"/>
        <v>1.618331223080794</v>
      </c>
      <c r="AB78" s="52">
        <f t="shared" si="69"/>
        <v>2.0199672515926563</v>
      </c>
      <c r="AD78" s="44">
        <f t="shared" ref="AD78:AH78" si="70">AD25/(AD$118)*1000</f>
        <v>1.5804404687586431</v>
      </c>
      <c r="AE78" s="44">
        <f t="shared" si="70"/>
        <v>1.6018324963758539</v>
      </c>
      <c r="AF78" s="52">
        <f t="shared" si="70"/>
        <v>0</v>
      </c>
      <c r="AG78" s="52">
        <f t="shared" si="70"/>
        <v>0</v>
      </c>
      <c r="AH78" s="52">
        <f t="shared" si="70"/>
        <v>1.5910652141832327</v>
      </c>
    </row>
    <row r="79" spans="2:34" x14ac:dyDescent="0.2">
      <c r="B79" s="37" t="s">
        <v>53</v>
      </c>
      <c r="C79" s="7"/>
      <c r="E79" s="82"/>
      <c r="F79" s="44">
        <f t="shared" si="60"/>
        <v>1.4526762766789585</v>
      </c>
      <c r="G79" s="44">
        <f t="shared" si="60"/>
        <v>1.4213863984255413</v>
      </c>
      <c r="H79" s="52">
        <f t="shared" si="60"/>
        <v>1.3877028181041844</v>
      </c>
      <c r="I79" s="52">
        <f t="shared" si="60"/>
        <v>1.2360939431396785</v>
      </c>
      <c r="J79" s="52">
        <f t="shared" si="60"/>
        <v>1.3750240629211012</v>
      </c>
      <c r="K79" s="52"/>
      <c r="L79" s="44">
        <f t="shared" si="61"/>
        <v>1.3822568484543853</v>
      </c>
      <c r="M79" s="44">
        <f t="shared" si="61"/>
        <v>1.3272200772200771</v>
      </c>
      <c r="N79" s="52">
        <f t="shared" si="61"/>
        <v>1.1807769512339119</v>
      </c>
      <c r="O79" s="52">
        <f t="shared" si="61"/>
        <v>1.3187076664868429</v>
      </c>
      <c r="P79" s="52">
        <f t="shared" si="61"/>
        <v>1.300803170329587</v>
      </c>
      <c r="R79" s="44">
        <f t="shared" si="62"/>
        <v>1.4932802389248383</v>
      </c>
      <c r="S79" s="44">
        <f t="shared" si="62"/>
        <v>1.4024047416579228</v>
      </c>
      <c r="T79" s="52">
        <f t="shared" si="62"/>
        <v>1.5278838808250572</v>
      </c>
      <c r="U79" s="52">
        <f t="shared" si="62"/>
        <v>1.4483212639894669</v>
      </c>
      <c r="V79" s="52">
        <f t="shared" si="62"/>
        <v>1.4683036337003774</v>
      </c>
      <c r="X79" s="44">
        <f t="shared" ref="X79:AB79" si="71">X26/(X$118)*1000</f>
        <v>1.7295228102439635</v>
      </c>
      <c r="Y79" s="44">
        <f t="shared" si="71"/>
        <v>1.8920098966671519</v>
      </c>
      <c r="Z79" s="52">
        <f t="shared" si="71"/>
        <v>2.3283761454108456</v>
      </c>
      <c r="AA79" s="52">
        <f t="shared" si="71"/>
        <v>2.3889651388335529</v>
      </c>
      <c r="AB79" s="52">
        <f t="shared" si="71"/>
        <v>2.1695944554143352</v>
      </c>
      <c r="AD79" s="44">
        <f t="shared" ref="AD79:AH79" si="72">AD26/(AD$118)*1000</f>
        <v>2.2916386797000321</v>
      </c>
      <c r="AE79" s="44">
        <f t="shared" si="72"/>
        <v>2.2425654949261951</v>
      </c>
      <c r="AF79" s="52">
        <f t="shared" si="72"/>
        <v>0</v>
      </c>
      <c r="AG79" s="52">
        <f t="shared" si="72"/>
        <v>0</v>
      </c>
      <c r="AH79" s="52">
        <f t="shared" si="72"/>
        <v>2.2672679302111063</v>
      </c>
    </row>
    <row r="80" spans="2:34" x14ac:dyDescent="0.2">
      <c r="B80" s="37" t="s">
        <v>80</v>
      </c>
      <c r="C80" s="7"/>
      <c r="E80" s="82"/>
      <c r="F80" s="44">
        <f t="shared" si="60"/>
        <v>0</v>
      </c>
      <c r="G80" s="44">
        <f t="shared" si="60"/>
        <v>0</v>
      </c>
      <c r="H80" s="52">
        <f t="shared" si="60"/>
        <v>0</v>
      </c>
      <c r="I80" s="52">
        <f t="shared" si="60"/>
        <v>0</v>
      </c>
      <c r="J80" s="52">
        <f t="shared" si="60"/>
        <v>0</v>
      </c>
      <c r="K80" s="52"/>
      <c r="L80" s="44">
        <f t="shared" si="61"/>
        <v>0</v>
      </c>
      <c r="M80" s="44">
        <f t="shared" si="61"/>
        <v>0.24131274131274133</v>
      </c>
      <c r="N80" s="52">
        <f t="shared" si="61"/>
        <v>0.1180776951233912</v>
      </c>
      <c r="O80" s="52">
        <f t="shared" si="61"/>
        <v>1.3187076664868429</v>
      </c>
      <c r="P80" s="52">
        <f t="shared" si="61"/>
        <v>0.42351731127009817</v>
      </c>
      <c r="R80" s="44">
        <f t="shared" si="62"/>
        <v>0.62220009955201583</v>
      </c>
      <c r="S80" s="44">
        <f t="shared" si="62"/>
        <v>1.019930721205762</v>
      </c>
      <c r="T80" s="52">
        <f t="shared" si="62"/>
        <v>0.89126559714795006</v>
      </c>
      <c r="U80" s="52">
        <f t="shared" si="62"/>
        <v>2.2383146807109942</v>
      </c>
      <c r="V80" s="52">
        <f t="shared" si="62"/>
        <v>1.1810268358024776</v>
      </c>
      <c r="X80" s="44">
        <f t="shared" ref="X80:AB80" si="73">X27/(X$118)*1000</f>
        <v>1.1530152068293091</v>
      </c>
      <c r="Y80" s="44">
        <f t="shared" si="73"/>
        <v>2.1830883423082521</v>
      </c>
      <c r="Z80" s="52">
        <f t="shared" si="73"/>
        <v>0.97641580291422569</v>
      </c>
      <c r="AA80" s="52">
        <f t="shared" si="73"/>
        <v>1.5412678315055182</v>
      </c>
      <c r="AB80" s="52">
        <f t="shared" si="73"/>
        <v>1.3965205690023306</v>
      </c>
      <c r="AD80" s="44">
        <f t="shared" ref="AD80:AH80" si="74">AD27/(AD$118)*1000</f>
        <v>1.4223964218827787</v>
      </c>
      <c r="AE80" s="44">
        <f t="shared" si="74"/>
        <v>1.1212827474630975</v>
      </c>
      <c r="AF80" s="52">
        <f t="shared" si="74"/>
        <v>0</v>
      </c>
      <c r="AG80" s="52">
        <f t="shared" si="74"/>
        <v>0</v>
      </c>
      <c r="AH80" s="52">
        <f t="shared" si="74"/>
        <v>1.2728521713465861</v>
      </c>
    </row>
    <row r="81" spans="2:34" x14ac:dyDescent="0.2">
      <c r="B81" s="37" t="s">
        <v>96</v>
      </c>
      <c r="C81" s="7"/>
      <c r="E81" s="82"/>
      <c r="F81" s="44">
        <f t="shared" si="60"/>
        <v>0</v>
      </c>
      <c r="G81" s="44">
        <f t="shared" si="60"/>
        <v>0</v>
      </c>
      <c r="H81" s="52">
        <f t="shared" si="60"/>
        <v>0</v>
      </c>
      <c r="I81" s="52">
        <f t="shared" si="60"/>
        <v>0</v>
      </c>
      <c r="J81" s="52">
        <f t="shared" si="60"/>
        <v>0</v>
      </c>
      <c r="K81" s="52"/>
      <c r="L81" s="44">
        <f t="shared" si="61"/>
        <v>0</v>
      </c>
      <c r="M81" s="44">
        <f t="shared" si="61"/>
        <v>0</v>
      </c>
      <c r="N81" s="52">
        <f t="shared" si="61"/>
        <v>0</v>
      </c>
      <c r="O81" s="52">
        <f t="shared" si="61"/>
        <v>0</v>
      </c>
      <c r="P81" s="52">
        <f t="shared" si="61"/>
        <v>0</v>
      </c>
      <c r="R81" s="44">
        <f t="shared" si="62"/>
        <v>0</v>
      </c>
      <c r="S81" s="44">
        <f t="shared" si="62"/>
        <v>0</v>
      </c>
      <c r="T81" s="52">
        <f t="shared" si="62"/>
        <v>0</v>
      </c>
      <c r="U81" s="52">
        <f t="shared" si="62"/>
        <v>0</v>
      </c>
      <c r="V81" s="52">
        <f t="shared" si="62"/>
        <v>0</v>
      </c>
      <c r="X81" s="44">
        <f>X28/(X$118)*1000</f>
        <v>0</v>
      </c>
      <c r="Y81" s="44">
        <f>Y28/(Y$118)*1000</f>
        <v>0</v>
      </c>
      <c r="Z81" s="52">
        <f>Z28/(Z$118)*1000</f>
        <v>0</v>
      </c>
      <c r="AA81" s="52">
        <f>AA28/(AA$118)*1000</f>
        <v>-0.92476069890331092</v>
      </c>
      <c r="AB81" s="52">
        <f>AB28/(AB$118)*1000</f>
        <v>-0.29925440764335653</v>
      </c>
      <c r="AD81" s="44">
        <f>AD28/(AD$118)*1000</f>
        <v>7.9022023437932146E-2</v>
      </c>
      <c r="AE81" s="44">
        <f>AE28/(AE$118)*1000</f>
        <v>0</v>
      </c>
      <c r="AF81" s="52">
        <f>AF28/(AF$118)*1000</f>
        <v>0</v>
      </c>
      <c r="AG81" s="52">
        <f>AG28/(AG$118)*1000</f>
        <v>0</v>
      </c>
      <c r="AH81" s="52">
        <f>AH28/(AH$118)*1000</f>
        <v>3.9776630354580816E-2</v>
      </c>
    </row>
    <row r="82" spans="2:34" ht="12.4" customHeight="1" x14ac:dyDescent="0.2">
      <c r="B82" s="37" t="s">
        <v>54</v>
      </c>
      <c r="C82" s="7"/>
      <c r="E82" s="82"/>
      <c r="F82" s="45">
        <f>F29/(F118)*1000</f>
        <v>2.1231422505307855</v>
      </c>
      <c r="G82" s="45">
        <f>G29/(G118)*1000</f>
        <v>1.3120489831620381</v>
      </c>
      <c r="H82" s="59">
        <f>H29/(H118)*1000+0.01</f>
        <v>0.65047822374039288</v>
      </c>
      <c r="I82" s="59">
        <f>I29/(I118)*1000</f>
        <v>-0.1123721766490617</v>
      </c>
      <c r="J82" s="59">
        <f>J29/(J118)*1000</f>
        <v>0.99001732530319275</v>
      </c>
      <c r="K82" s="52"/>
      <c r="L82" s="45">
        <f>L29/(L118)*1000</f>
        <v>-0.12565971349585323</v>
      </c>
      <c r="M82" s="45">
        <f>M29/(M118)*1000-0.01</f>
        <v>0.95525096525096531</v>
      </c>
      <c r="N82" s="59">
        <f>N29/(N118)*1000</f>
        <v>0.94462156098712957</v>
      </c>
      <c r="O82" s="59">
        <f>O29/(O118)*1000</f>
        <v>1.3187076664868429</v>
      </c>
      <c r="P82" s="59">
        <f>P29/(P118)*1000</f>
        <v>0.78653214950161088</v>
      </c>
      <c r="R82" s="45">
        <f>R29/(R118)*1000</f>
        <v>1.1199601791936287</v>
      </c>
      <c r="S82" s="45">
        <f>S29/(S118)*1000</f>
        <v>1.7848787621100837</v>
      </c>
      <c r="T82" s="59">
        <f>T29/(T118)*1000</f>
        <v>2.6737967914438503</v>
      </c>
      <c r="U82" s="59">
        <f>U29/(U118)*1000</f>
        <v>1.8433179723502304</v>
      </c>
      <c r="V82" s="59">
        <f>V29/(V118)*1000</f>
        <v>1.8513393642309106</v>
      </c>
      <c r="X82" s="45">
        <f>X29/(X118)*1000</f>
        <v>5.3326953315855539</v>
      </c>
      <c r="Y82" s="45">
        <f>Y29/(Y118)*1000</f>
        <v>7.276961141027507</v>
      </c>
      <c r="Z82" s="59">
        <f>Z29/(Z118)*1000</f>
        <v>4.8820790145711284</v>
      </c>
      <c r="AA82" s="59">
        <f>AA29/(AA118)*1000</f>
        <v>2.3889651388335529</v>
      </c>
      <c r="AB82" s="59">
        <f>AB29/(AB118)*1000</f>
        <v>4.5636297165611879</v>
      </c>
      <c r="AD82" s="45">
        <f>AD29/(AD118)*1000</f>
        <v>1.1853303515689821</v>
      </c>
      <c r="AE82" s="45">
        <f>AE29/(AE118)*1000</f>
        <v>4.0846728657584279</v>
      </c>
      <c r="AF82" s="59">
        <f>AF29/(AF118)*1000</f>
        <v>0</v>
      </c>
      <c r="AG82" s="59">
        <f>AG29/(AG118)*1000</f>
        <v>0</v>
      </c>
      <c r="AH82" s="59">
        <f>AH29/(AH118)*1000</f>
        <v>2.6252576034023338</v>
      </c>
    </row>
    <row r="83" spans="2:34" x14ac:dyDescent="0.2">
      <c r="B83" s="6" t="s">
        <v>55</v>
      </c>
      <c r="C83" s="7"/>
      <c r="E83" s="82"/>
      <c r="F83" s="87">
        <f>SUM(F70:F82)</f>
        <v>48.720527433232753</v>
      </c>
      <c r="G83" s="87">
        <f>SUM(G70:G82)</f>
        <v>43.078941613820241</v>
      </c>
      <c r="H83" s="88">
        <f>SUM(H70:H82)</f>
        <v>49.967301451750629</v>
      </c>
      <c r="I83" s="88">
        <f>SUM(I70:I82)+0.01</f>
        <v>47.441058545904035</v>
      </c>
      <c r="J83" s="88">
        <f>SUM(J70:J82)+0.01</f>
        <v>47.310827764485872</v>
      </c>
      <c r="K83" s="52"/>
      <c r="L83" s="87">
        <f>SUM(L70:L82)+0.01</f>
        <v>49.781246544357877</v>
      </c>
      <c r="M83" s="87">
        <f>SUM(M70:M82)</f>
        <v>57.060463320463313</v>
      </c>
      <c r="N83" s="88">
        <f>SUM(N70:N82)+0.01</f>
        <v>63.299644586137681</v>
      </c>
      <c r="O83" s="88">
        <f>SUM(O70:O82)</f>
        <v>65.815500809206981</v>
      </c>
      <c r="P83" s="88">
        <f>SUM(P70:P82)</f>
        <v>59.110916158697989</v>
      </c>
      <c r="Q83" s="52"/>
      <c r="R83" s="87">
        <f>SUM(R70:R82)+0.01</f>
        <v>79.402732702837227</v>
      </c>
      <c r="S83" s="87">
        <f>SUM(S70:S82)-0.01</f>
        <v>56.596155026919789</v>
      </c>
      <c r="T83" s="88">
        <f>SUM(T70:T82)+0.01</f>
        <v>60.488736949325187</v>
      </c>
      <c r="U83" s="88">
        <f>SUM(U70:U82)</f>
        <v>61.619486504279124</v>
      </c>
      <c r="V83" s="88">
        <f>SUM(V70:V82)</f>
        <v>64.637279527027502</v>
      </c>
      <c r="W83" s="52"/>
      <c r="X83" s="87">
        <f>SUM(X70:X82)</f>
        <v>66.874881996099916</v>
      </c>
      <c r="Y83" s="87">
        <f>SUM(Y70:Y82)-0.01</f>
        <v>69.412209285402412</v>
      </c>
      <c r="Z83" s="88">
        <f>SUM(Z70:Z82)</f>
        <v>62.715938110259877</v>
      </c>
      <c r="AA83" s="88">
        <f>SUM(AA70:AA82)</f>
        <v>62.652537350699305</v>
      </c>
      <c r="AB83" s="88">
        <f>SUM(AB70:AB82)</f>
        <v>64.56413844905417</v>
      </c>
      <c r="AC83" s="52"/>
      <c r="AD83" s="87">
        <f>SUM(AD70:AD82)</f>
        <v>57.369989015938728</v>
      </c>
      <c r="AE83" s="87">
        <f>SUM(AE70:AE82)</f>
        <v>56.945145246161609</v>
      </c>
      <c r="AF83" s="88">
        <f>SUM(AF70:AF82)</f>
        <v>0</v>
      </c>
      <c r="AG83" s="88">
        <f>SUM(AG70:AG82)</f>
        <v>0</v>
      </c>
      <c r="AH83" s="88">
        <f>SUM(AH70:AH82)</f>
        <v>57.159017819532622</v>
      </c>
    </row>
    <row r="84" spans="2:34" ht="12.4" customHeight="1" x14ac:dyDescent="0.2">
      <c r="B84" s="37" t="s">
        <v>57</v>
      </c>
      <c r="C84" s="7"/>
      <c r="E84" s="82"/>
      <c r="F84" s="45">
        <f>F31/(F$118)*1000</f>
        <v>0.22348865795060902</v>
      </c>
      <c r="G84" s="45">
        <f>G31/(G$118)*1000</f>
        <v>0</v>
      </c>
      <c r="H84" s="59">
        <f>H31/(H$118)*1000</f>
        <v>0.2134927412467976</v>
      </c>
      <c r="I84" s="59">
        <f>I31/(I$118)*1000+0.01</f>
        <v>13.494661197887403</v>
      </c>
      <c r="J84" s="59">
        <f>J31/(J$118)*1000+0.01</f>
        <v>3.4200596760443305</v>
      </c>
      <c r="K84" s="52"/>
      <c r="L84" s="45">
        <f>L31/(L$118)*1000</f>
        <v>6.7856245287760748</v>
      </c>
      <c r="M84" s="45">
        <f>M31/(M$118)*1000</f>
        <v>0.48262548262548266</v>
      </c>
      <c r="N84" s="59">
        <f>N31/(N$118)*1000</f>
        <v>0.23615539024678239</v>
      </c>
      <c r="O84" s="59">
        <f>O31/(O$118)*1000</f>
        <v>-0.11988251513516752</v>
      </c>
      <c r="P84" s="59">
        <f>P31/(P$118)*1000</f>
        <v>1.784822954638271</v>
      </c>
      <c r="R84" s="45">
        <f>R31/(R$118)*1000</f>
        <v>0.87108013937282225</v>
      </c>
      <c r="S84" s="45">
        <f>S31/(S$118)*1000</f>
        <v>0</v>
      </c>
      <c r="T84" s="59">
        <f>T31/(T$118)*1000</f>
        <v>0</v>
      </c>
      <c r="U84" s="59">
        <f>U31/(U$118)*1000</f>
        <v>3.2916392363396971</v>
      </c>
      <c r="V84" s="59">
        <f>V31/(V$118)*1000</f>
        <v>1.0214286147480887</v>
      </c>
      <c r="X84" s="45">
        <f>X31/(X$118)*1000</f>
        <v>0.86476140512198174</v>
      </c>
      <c r="Y84" s="45">
        <f>Y31/(Y$118)*1000</f>
        <v>0.14553922282055012</v>
      </c>
      <c r="Z84" s="59">
        <f>Z31/(Z$118)*1000</f>
        <v>0</v>
      </c>
      <c r="AA84" s="59">
        <f>AA31/(AA$118)*1000</f>
        <v>0.30825356630110362</v>
      </c>
      <c r="AB84" s="59">
        <f>AB31/(AB$118)*1000</f>
        <v>0.27431654033974351</v>
      </c>
      <c r="AD84" s="45">
        <f>AD31/(AD$118)*1000</f>
        <v>0</v>
      </c>
      <c r="AE84" s="45">
        <f>AE31/(AE$118)*1000</f>
        <v>0</v>
      </c>
      <c r="AF84" s="59">
        <f>AF31/(AF$118)*1000</f>
        <v>0</v>
      </c>
      <c r="AG84" s="59">
        <f>AG31/(AG$118)*1000</f>
        <v>0</v>
      </c>
      <c r="AH84" s="59">
        <f>AH31/(AH$118)*1000</f>
        <v>0</v>
      </c>
    </row>
    <row r="85" spans="2:34" x14ac:dyDescent="0.2">
      <c r="B85" s="1" t="s">
        <v>26</v>
      </c>
      <c r="C85" s="7"/>
      <c r="E85" s="82"/>
      <c r="F85" s="44">
        <f>+F67-F83+F84</f>
        <v>-7.9338473572466146</v>
      </c>
      <c r="G85" s="44">
        <f>+G67-G83+G84</f>
        <v>-9.8403673737152815</v>
      </c>
      <c r="H85" s="44">
        <f>+H67-H83+H84+0.01</f>
        <v>13.023057216054664</v>
      </c>
      <c r="I85" s="44">
        <f>+I67-I83+I84</f>
        <v>37.300350601191155</v>
      </c>
      <c r="J85" s="44">
        <f>+J67-J83+J84</f>
        <v>8.0576410087176651</v>
      </c>
      <c r="K85" s="44"/>
      <c r="L85" s="44">
        <f>+L67-L83+L84+0.01</f>
        <v>-23.75968585071627</v>
      </c>
      <c r="M85" s="44">
        <f>+M67-M83+M84</f>
        <v>33.542471042471036</v>
      </c>
      <c r="N85" s="44">
        <f>+N67-N83+N84+0.01</f>
        <v>69.783917817924205</v>
      </c>
      <c r="O85" s="44">
        <f>+O67-O83+O84</f>
        <v>15.826980159443728</v>
      </c>
      <c r="P85" s="44">
        <f>+P67-P83+P84</f>
        <v>24.564004053665698</v>
      </c>
      <c r="Q85" s="32"/>
      <c r="R85" s="44">
        <f>+R67-R83+R84+0.01</f>
        <v>48.904927824788452</v>
      </c>
      <c r="S85" s="44">
        <f>+S67-S83+S84</f>
        <v>18.7512270021559</v>
      </c>
      <c r="T85" s="44">
        <f>+T67-T83+T84</f>
        <v>-1.9098548510313336</v>
      </c>
      <c r="U85" s="44">
        <f>+U67-U83+U84</f>
        <v>37.256886109282426</v>
      </c>
      <c r="V85" s="44">
        <f>+V67-V83+V84</f>
        <v>25.791072522389229</v>
      </c>
      <c r="W85" s="32"/>
      <c r="X85" s="44">
        <f>+X67-X83+X84</f>
        <v>-0.57650760341464047</v>
      </c>
      <c r="Y85" s="44">
        <f>+Y67-Y83+Y84+0.01</f>
        <v>5.5504904671809063</v>
      </c>
      <c r="Z85" s="44">
        <f>+Z67-Z83+Z84</f>
        <v>38.906414300736067</v>
      </c>
      <c r="AA85" s="44">
        <f>+AA67-AA83+AA84</f>
        <v>5.2359491859408669</v>
      </c>
      <c r="AB85" s="44">
        <f>+AB67-AB83+AB84+0.01</f>
        <v>15.471477728240087</v>
      </c>
      <c r="AC85" s="32"/>
      <c r="AD85" s="44">
        <f>+AD67-AD83+AD84</f>
        <v>14.698096359455391</v>
      </c>
      <c r="AE85" s="44">
        <f>+AE67-AE83+AE84</f>
        <v>21.38446382661764</v>
      </c>
      <c r="AF85" s="44">
        <f>+AF67-AF83+AF84</f>
        <v>0</v>
      </c>
      <c r="AG85" s="44">
        <f>+AG67-AG83+AG84</f>
        <v>0</v>
      </c>
      <c r="AH85" s="44">
        <f>+AH67-AH83+AH84</f>
        <v>18.018813550625111</v>
      </c>
    </row>
    <row r="86" spans="2:34" ht="4.9000000000000004" customHeight="1" x14ac:dyDescent="0.2">
      <c r="B86" s="1"/>
      <c r="C86" s="7"/>
      <c r="E86" s="82"/>
      <c r="F86" s="44"/>
      <c r="G86" s="44"/>
      <c r="H86" s="52"/>
      <c r="I86" s="52"/>
      <c r="J86" s="52"/>
      <c r="K86" s="52"/>
      <c r="L86" s="44"/>
      <c r="M86" s="44"/>
      <c r="N86" s="52"/>
      <c r="O86" s="52"/>
      <c r="P86" s="52"/>
      <c r="R86" s="44"/>
      <c r="S86" s="44"/>
      <c r="T86" s="52"/>
      <c r="U86" s="52"/>
      <c r="V86" s="52"/>
      <c r="X86" s="44"/>
      <c r="Y86" s="44"/>
      <c r="Z86" s="52"/>
      <c r="AA86" s="52"/>
      <c r="AB86" s="52"/>
      <c r="AD86" s="44"/>
      <c r="AE86" s="44"/>
      <c r="AF86" s="52"/>
      <c r="AG86" s="52"/>
      <c r="AH86" s="52"/>
    </row>
    <row r="87" spans="2:34" ht="13.9" customHeight="1" x14ac:dyDescent="0.2">
      <c r="B87" s="1" t="s">
        <v>61</v>
      </c>
      <c r="C87" s="7"/>
      <c r="E87" s="82"/>
      <c r="F87" s="44"/>
      <c r="G87" s="44"/>
      <c r="H87" s="52"/>
      <c r="I87" s="52"/>
      <c r="J87" s="52"/>
      <c r="K87" s="52"/>
      <c r="L87" s="44"/>
      <c r="M87" s="44"/>
      <c r="N87" s="52"/>
      <c r="O87" s="52"/>
      <c r="P87" s="52"/>
      <c r="R87" s="44"/>
      <c r="S87" s="44"/>
      <c r="T87" s="52"/>
      <c r="U87" s="52"/>
      <c r="V87" s="52"/>
      <c r="X87" s="44"/>
      <c r="Y87" s="44"/>
      <c r="Z87" s="52"/>
      <c r="AA87" s="52"/>
      <c r="AB87" s="52"/>
      <c r="AD87" s="44"/>
      <c r="AE87" s="44"/>
      <c r="AF87" s="52"/>
      <c r="AG87" s="52"/>
      <c r="AH87" s="52"/>
    </row>
    <row r="88" spans="2:34" ht="13.9" customHeight="1" x14ac:dyDescent="0.2">
      <c r="B88" s="62" t="s">
        <v>58</v>
      </c>
      <c r="C88" s="7"/>
      <c r="E88" s="82"/>
      <c r="F88" s="44">
        <f>F35/(F118)*1000</f>
        <v>-0.22348865795060902</v>
      </c>
      <c r="G88" s="44">
        <f>G35/(G118)*1000</f>
        <v>-0.21867483052700634</v>
      </c>
      <c r="H88" s="52">
        <f>H35/(H118)*1000</f>
        <v>-0.1067463706233988</v>
      </c>
      <c r="I88" s="52">
        <f>I35/(I118)*1000</f>
        <v>-0.1123721766490617</v>
      </c>
      <c r="J88" s="52">
        <f>J35/(J118)*1000</f>
        <v>-0.16500288755053213</v>
      </c>
      <c r="K88" s="52"/>
      <c r="L88" s="44">
        <f>L35/(L118)*1000</f>
        <v>0</v>
      </c>
      <c r="M88" s="44">
        <f>M35/(M118)*1000</f>
        <v>0</v>
      </c>
      <c r="N88" s="52">
        <f>N35/(N118)*1000</f>
        <v>0</v>
      </c>
      <c r="O88" s="52">
        <f>O35/(O118)*1000</f>
        <v>0</v>
      </c>
      <c r="P88" s="52">
        <f>P35/(P118)*1000</f>
        <v>0</v>
      </c>
      <c r="R88" s="44">
        <f>R35/(R118)*1000</f>
        <v>0</v>
      </c>
      <c r="S88" s="44">
        <f>S35/(S118)*1000</f>
        <v>0</v>
      </c>
      <c r="T88" s="52">
        <f>T35/(T118)*1000</f>
        <v>0</v>
      </c>
      <c r="U88" s="52">
        <f>U35/(U118)*1000</f>
        <v>0</v>
      </c>
      <c r="V88" s="52">
        <f>V35/(V118)*1000</f>
        <v>0</v>
      </c>
      <c r="X88" s="44">
        <f>X35/(X118)*1000</f>
        <v>0</v>
      </c>
      <c r="Y88" s="44">
        <f>Y35/(Y118)*1000</f>
        <v>0</v>
      </c>
      <c r="Z88" s="52">
        <f>Z35/(Z118)*1000</f>
        <v>0</v>
      </c>
      <c r="AA88" s="52">
        <f>AA35/(AA118)*1000</f>
        <v>0</v>
      </c>
      <c r="AB88" s="52">
        <f>AB35/(AB118)*1000</f>
        <v>0</v>
      </c>
      <c r="AD88" s="44">
        <f>AD35/(AD118)*1000</f>
        <v>0</v>
      </c>
      <c r="AE88" s="44">
        <f>AE35/(AE118)*1000</f>
        <v>0</v>
      </c>
      <c r="AF88" s="52">
        <f>AF35/(AF118)*1000</f>
        <v>0</v>
      </c>
      <c r="AG88" s="52">
        <f>AG35/(AG118)*1000</f>
        <v>0</v>
      </c>
      <c r="AH88" s="52">
        <f>AH35/(AH118)*1000</f>
        <v>0</v>
      </c>
    </row>
    <row r="89" spans="2:34" ht="13.9" customHeight="1" x14ac:dyDescent="0.2">
      <c r="B89" s="62" t="s">
        <v>18</v>
      </c>
      <c r="C89" s="7"/>
      <c r="E89" s="82"/>
      <c r="F89" s="44">
        <f>F36/(F118)*1000</f>
        <v>-1.4526762766789585</v>
      </c>
      <c r="G89" s="44">
        <f>G36/(G118)*1000</f>
        <v>-1.4213863984255413</v>
      </c>
      <c r="H89" s="52">
        <f>H36/(H118)*1000</f>
        <v>-1.4944491887275833</v>
      </c>
      <c r="I89" s="52">
        <f>I36/(I118)*1000</f>
        <v>-1.5732104730868637</v>
      </c>
      <c r="J89" s="52">
        <f>J36/(J118)*1000+0.01</f>
        <v>-1.4750259879547891</v>
      </c>
      <c r="K89" s="52"/>
      <c r="L89" s="44">
        <f>L36/(L118)*1000</f>
        <v>-1.6335762754460921</v>
      </c>
      <c r="M89" s="44">
        <f>M36/(M118)*1000</f>
        <v>-1.5685328185328185</v>
      </c>
      <c r="N89" s="52">
        <f>N36/(N118)*1000</f>
        <v>-1.5350100366040855</v>
      </c>
      <c r="O89" s="52">
        <f>O36/(O118)*1000</f>
        <v>-1.6783552118923455</v>
      </c>
      <c r="P89" s="52">
        <f>P36/(P118)*1000</f>
        <v>-1.6033155355225144</v>
      </c>
      <c r="R89" s="44">
        <f>R36/(R118)*1000</f>
        <v>-1.7421602787456445</v>
      </c>
      <c r="S89" s="44">
        <f>S36/(S118)*1000</f>
        <v>-1.7848787621100837</v>
      </c>
      <c r="T89" s="52">
        <f>T36/(T118)*1000</f>
        <v>-1.9098548510313218</v>
      </c>
      <c r="U89" s="52">
        <f>U36/(U118)*1000</f>
        <v>-1.7116524028966427</v>
      </c>
      <c r="V89" s="52">
        <f>V36/(V118)*1000</f>
        <v>-1.7875000758091553</v>
      </c>
      <c r="X89" s="44">
        <f>X36/(X118)*1000</f>
        <v>-1.8736497110976271</v>
      </c>
      <c r="Y89" s="44">
        <f>Y36/(Y118)*1000</f>
        <v>-2.4741667879493523</v>
      </c>
      <c r="Z89" s="52">
        <f>Z36/(Z118)*1000</f>
        <v>-2.1781583295778879</v>
      </c>
      <c r="AA89" s="52">
        <f>AA36/(AA118)*1000</f>
        <v>-2.1577749641077255</v>
      </c>
      <c r="AB89" s="52">
        <f>AB36/(AB118)*1000</f>
        <v>-2.1695944554143352</v>
      </c>
      <c r="AD89" s="44">
        <f>AD36/(AD118)*1000</f>
        <v>-2.1335946328241682</v>
      </c>
      <c r="AE89" s="44">
        <f>AE36/(AE118)*1000</f>
        <v>-2.0022906204698172</v>
      </c>
      <c r="AF89" s="52">
        <f>AF36/(AF118)*1000</f>
        <v>0</v>
      </c>
      <c r="AG89" s="52">
        <f>AG36/(AG118)*1000</f>
        <v>0</v>
      </c>
      <c r="AH89" s="52">
        <f>AH36/(AH118)*1000</f>
        <v>-2.0683847784382023</v>
      </c>
    </row>
    <row r="90" spans="2:34" ht="13.9" customHeight="1" x14ac:dyDescent="0.2">
      <c r="B90" s="62" t="s">
        <v>75</v>
      </c>
      <c r="C90" s="7"/>
      <c r="E90" s="82"/>
      <c r="F90" s="44"/>
      <c r="G90" s="44"/>
      <c r="H90" s="52"/>
      <c r="I90" s="52"/>
      <c r="J90" s="52"/>
      <c r="K90" s="52"/>
      <c r="L90" s="44">
        <f>L37/(L118)*1000</f>
        <v>0</v>
      </c>
      <c r="M90" s="44">
        <f>M37/(M118)*1000</f>
        <v>0</v>
      </c>
      <c r="N90" s="52">
        <f>N37/(N118)*1000</f>
        <v>0</v>
      </c>
      <c r="O90" s="52">
        <f>O37/(O118)*1000</f>
        <v>-0.11988251513516752</v>
      </c>
      <c r="P90" s="52">
        <f>P37/(P118)*1000</f>
        <v>-3.0251236519292728E-2</v>
      </c>
      <c r="R90" s="44">
        <f>R37/(R118)*1000</f>
        <v>-0.24888003982080636</v>
      </c>
      <c r="S90" s="44">
        <f>S37/(S118)*1000</f>
        <v>-0.12749134015072025</v>
      </c>
      <c r="T90" s="52">
        <f>T37/(T118)*1000</f>
        <v>-0.3819709702062643</v>
      </c>
      <c r="U90" s="52">
        <f>U37/(U118)*1000</f>
        <v>-0.39499670836076367</v>
      </c>
      <c r="V90" s="52">
        <f>V37/(V118)*1000</f>
        <v>-0.28727679789789995</v>
      </c>
      <c r="X90" s="44">
        <f>X37/(X118)*1000</f>
        <v>-0.43238070256099087</v>
      </c>
      <c r="Y90" s="44">
        <f>Y37/(Y118)*1000</f>
        <v>-0.58215689128220049</v>
      </c>
      <c r="Z90" s="52">
        <f>Z37/(Z118)*1000</f>
        <v>-0.15021781583295779</v>
      </c>
      <c r="AA90" s="52">
        <f>AA37/(AA118)*1000</f>
        <v>-7.7063391575275905E-2</v>
      </c>
      <c r="AB90" s="52">
        <f>AB37/(AB118)*1000</f>
        <v>-0.24937867303613048</v>
      </c>
      <c r="AD90" s="44">
        <f>AD37/(AD118)*1000</f>
        <v>-7.9022023437932146E-2</v>
      </c>
      <c r="AE90" s="44">
        <f>AE37/(AE118)*1000</f>
        <v>0</v>
      </c>
      <c r="AF90" s="52">
        <f>AF37/(AF118)*1000</f>
        <v>0</v>
      </c>
      <c r="AG90" s="52">
        <f>AG37/(AG118)*1000</f>
        <v>0</v>
      </c>
      <c r="AH90" s="52">
        <f>AH37/(AH118)*1000</f>
        <v>-3.9776630354580816E-2</v>
      </c>
    </row>
    <row r="91" spans="2:34" ht="13.9" customHeight="1" x14ac:dyDescent="0.2">
      <c r="B91" s="62" t="s">
        <v>49</v>
      </c>
      <c r="C91" s="7"/>
      <c r="E91" s="82"/>
      <c r="F91" s="44">
        <f>+F38/F118*1000</f>
        <v>-0.22348865795060902</v>
      </c>
      <c r="G91" s="44">
        <f>+G38/G118*1000</f>
        <v>0</v>
      </c>
      <c r="H91" s="52">
        <f>+H38/H118*1000</f>
        <v>0</v>
      </c>
      <c r="I91" s="52">
        <f>+I38/I118*1000</f>
        <v>0</v>
      </c>
      <c r="J91" s="52">
        <f>+J38/J118*1000</f>
        <v>-5.5000962516844047E-2</v>
      </c>
      <c r="K91" s="52"/>
      <c r="L91" s="44">
        <f>+L38/L118*1000</f>
        <v>0</v>
      </c>
      <c r="M91" s="44">
        <f>+M38/M118*1000</f>
        <v>0</v>
      </c>
      <c r="N91" s="52">
        <f>+N38/N118*1000</f>
        <v>0</v>
      </c>
      <c r="O91" s="52">
        <f>+O38/O118*1000</f>
        <v>0</v>
      </c>
      <c r="P91" s="52">
        <f>+P38/P118*1000</f>
        <v>0</v>
      </c>
      <c r="R91" s="44">
        <f>+R38/R118*1000</f>
        <v>0</v>
      </c>
      <c r="S91" s="44">
        <f>+S38/S118*1000</f>
        <v>0</v>
      </c>
      <c r="T91" s="52">
        <f>+T38/T118*1000</f>
        <v>0</v>
      </c>
      <c r="U91" s="52">
        <f>+U38/U118*1000</f>
        <v>-0.13166556945358787</v>
      </c>
      <c r="V91" s="52">
        <f>+V38/V118*1000</f>
        <v>-3.1919644210877771E-2</v>
      </c>
      <c r="X91" s="44">
        <f>+X38/X118*1000</f>
        <v>0</v>
      </c>
      <c r="Y91" s="44">
        <f>+Y38/Y118*1000</f>
        <v>0</v>
      </c>
      <c r="Z91" s="52">
        <f>+Z38/Z118*1000</f>
        <v>-0.37554453958239448</v>
      </c>
      <c r="AA91" s="52">
        <f>+AA38/AA118*1000</f>
        <v>0</v>
      </c>
      <c r="AB91" s="52">
        <f>+AB38/AB118*1000</f>
        <v>-0.12468933651806524</v>
      </c>
      <c r="AD91" s="44">
        <f>+AD38/AD118*1000</f>
        <v>-7.9022023437932146E-2</v>
      </c>
      <c r="AE91" s="44">
        <f>+AE38/AE118*1000</f>
        <v>0</v>
      </c>
      <c r="AF91" s="52">
        <f>+AF38/AF118*1000</f>
        <v>0</v>
      </c>
      <c r="AG91" s="52">
        <f>+AG38/AG118*1000</f>
        <v>0</v>
      </c>
      <c r="AH91" s="52">
        <f>+AH38/AH118*1000</f>
        <v>-3.9776630354580816E-2</v>
      </c>
    </row>
    <row r="92" spans="2:34" ht="13.9" hidden="1" customHeight="1" x14ac:dyDescent="0.2">
      <c r="B92" s="62"/>
      <c r="C92" s="7"/>
      <c r="E92" s="82"/>
      <c r="F92" s="44">
        <f>+F39/F118*1000</f>
        <v>0</v>
      </c>
      <c r="G92" s="44">
        <f>+G39/G118*1000</f>
        <v>0</v>
      </c>
      <c r="H92" s="52">
        <f>+H39/H118*1000</f>
        <v>0</v>
      </c>
      <c r="I92" s="52">
        <f>+I39/I118*1000</f>
        <v>0</v>
      </c>
      <c r="J92" s="52">
        <f>+J39/J118*1000</f>
        <v>0</v>
      </c>
      <c r="K92" s="52"/>
      <c r="L92" s="44">
        <f>+L39/L118*1000</f>
        <v>0</v>
      </c>
      <c r="M92" s="44">
        <f>+M39/M118*1000</f>
        <v>0</v>
      </c>
      <c r="N92" s="52">
        <f>+N39/N118*1000</f>
        <v>0</v>
      </c>
      <c r="O92" s="52">
        <f>+O39/O118*1000</f>
        <v>0</v>
      </c>
      <c r="P92" s="52">
        <f>+P39/P118*1000</f>
        <v>0</v>
      </c>
      <c r="R92" s="44">
        <f>+R39/R118*1000</f>
        <v>0</v>
      </c>
      <c r="S92" s="44">
        <f>+S39/S118*1000</f>
        <v>0</v>
      </c>
      <c r="T92" s="52">
        <f>+T39/T118*1000</f>
        <v>0</v>
      </c>
      <c r="U92" s="52">
        <f>+U39/U118*1000</f>
        <v>0</v>
      </c>
      <c r="V92" s="52">
        <f>+V39/V118*1000</f>
        <v>0</v>
      </c>
      <c r="X92" s="44">
        <f>+X39/X118*1000</f>
        <v>0</v>
      </c>
      <c r="Y92" s="44">
        <f>+Y39/Y118*1000</f>
        <v>0</v>
      </c>
      <c r="Z92" s="52">
        <f>+Z39/Z118*1000</f>
        <v>0</v>
      </c>
      <c r="AA92" s="52">
        <f>+AA39/AA118*1000</f>
        <v>0</v>
      </c>
      <c r="AB92" s="52">
        <f>+AB39/AB118*1000</f>
        <v>0</v>
      </c>
      <c r="AD92" s="44">
        <f>+AD39/AD118*1000</f>
        <v>0</v>
      </c>
      <c r="AE92" s="44">
        <f>+AE39/AE118*1000</f>
        <v>0</v>
      </c>
      <c r="AF92" s="52">
        <f>+AF39/AF118*1000</f>
        <v>0</v>
      </c>
      <c r="AG92" s="52">
        <f>+AG39/AG118*1000</f>
        <v>0</v>
      </c>
      <c r="AH92" s="52">
        <f>+AH39/AH118*1000</f>
        <v>0</v>
      </c>
    </row>
    <row r="93" spans="2:34" ht="13.9" customHeight="1" x14ac:dyDescent="0.2">
      <c r="B93" s="62" t="s">
        <v>78</v>
      </c>
      <c r="C93" s="7"/>
      <c r="E93" s="82"/>
      <c r="F93" s="45">
        <f>+F40/F118*1000</f>
        <v>-0.11174432897530451</v>
      </c>
      <c r="G93" s="45">
        <f>+G40/G118*1000</f>
        <v>-0.21867483052700634</v>
      </c>
      <c r="H93" s="59">
        <f>+H40/H118*1000</f>
        <v>0</v>
      </c>
      <c r="I93" s="59">
        <f>+I40/I118*1000</f>
        <v>0.1123721766490617</v>
      </c>
      <c r="J93" s="59">
        <f>+J40/J118*1000</f>
        <v>-5.5000962516844047E-2</v>
      </c>
      <c r="K93" s="52"/>
      <c r="L93" s="45">
        <f>+L40/L118*1000</f>
        <v>0.12565971349585323</v>
      </c>
      <c r="M93" s="45">
        <f>+M40/M118*1000</f>
        <v>0.12065637065637067</v>
      </c>
      <c r="N93" s="59">
        <f>+N40/N118*1000</f>
        <v>0.1180776951233912</v>
      </c>
      <c r="O93" s="59">
        <f>+O40/O118*1000</f>
        <v>0</v>
      </c>
      <c r="P93" s="59">
        <f>+P40/P118*1000</f>
        <v>9.0753709557878176E-2</v>
      </c>
      <c r="R93" s="45">
        <f>+R40/R118*1000</f>
        <v>-0.12444001991040318</v>
      </c>
      <c r="S93" s="45">
        <f>+S40/S118*1000</f>
        <v>0.38247402045216078</v>
      </c>
      <c r="T93" s="59">
        <f>+T40/T118*1000</f>
        <v>0.3819709702062643</v>
      </c>
      <c r="U93" s="59">
        <f>+U40/U118*1000</f>
        <v>0.13166556945358787</v>
      </c>
      <c r="V93" s="59">
        <f>+V40/V118*1000</f>
        <v>0.19151786526526662</v>
      </c>
      <c r="X93" s="45">
        <f>+X40/X118*1000</f>
        <v>0.14412690085366364</v>
      </c>
      <c r="Y93" s="45">
        <f>+Y40/Y118*1000</f>
        <v>-0.87323533692330091</v>
      </c>
      <c r="Z93" s="59">
        <f>+Z40/Z118*1000</f>
        <v>7.5108907916478895E-2</v>
      </c>
      <c r="AA93" s="59">
        <f>+AA40/AA118*1000</f>
        <v>0.15412678315055181</v>
      </c>
      <c r="AB93" s="59">
        <f>+AB40/AB118*1000</f>
        <v>-4.9875734607226087E-2</v>
      </c>
      <c r="AD93" s="45">
        <f>+AD40/AD118*1000</f>
        <v>0.39511011718966077</v>
      </c>
      <c r="AE93" s="45">
        <f>+AE40/AE118*1000</f>
        <v>0</v>
      </c>
      <c r="AF93" s="59">
        <f>+AF40/AF118*1000</f>
        <v>0</v>
      </c>
      <c r="AG93" s="59">
        <f>+AG40/AG118*1000</f>
        <v>0</v>
      </c>
      <c r="AH93" s="59">
        <f>+AH40/AH118*1000</f>
        <v>0.19888315177290408</v>
      </c>
    </row>
    <row r="94" spans="2:34" ht="3.6" customHeight="1" x14ac:dyDescent="0.2">
      <c r="B94" s="1"/>
      <c r="C94" s="7"/>
      <c r="E94" s="82"/>
      <c r="F94" s="44"/>
      <c r="G94" s="44"/>
      <c r="H94" s="52"/>
      <c r="I94" s="52"/>
      <c r="J94" s="52"/>
      <c r="K94" s="52"/>
      <c r="L94" s="44"/>
      <c r="M94" s="44"/>
      <c r="N94" s="52"/>
      <c r="O94" s="52"/>
      <c r="P94" s="52"/>
      <c r="R94" s="44"/>
      <c r="S94" s="44"/>
      <c r="T94" s="52"/>
      <c r="U94" s="52"/>
      <c r="V94" s="52"/>
      <c r="X94" s="44"/>
      <c r="Y94" s="44"/>
      <c r="Z94" s="52"/>
      <c r="AA94" s="52"/>
      <c r="AB94" s="52"/>
      <c r="AD94" s="44"/>
      <c r="AE94" s="44"/>
      <c r="AF94" s="52"/>
      <c r="AG94" s="52"/>
      <c r="AH94" s="52"/>
    </row>
    <row r="95" spans="2:34" ht="14.65" customHeight="1" x14ac:dyDescent="0.2">
      <c r="B95" s="1" t="s">
        <v>23</v>
      </c>
      <c r="C95" s="7"/>
      <c r="E95" s="82"/>
      <c r="F95" s="32">
        <f>+F85+F88+F89+F91+F93+F92+0.01</f>
        <v>-9.9352452788020962</v>
      </c>
      <c r="G95" s="32">
        <f>+G85+G88+G89+G91+G93+G92</f>
        <v>-11.699103433194837</v>
      </c>
      <c r="H95" s="32">
        <f>+H85+H88+H89+H91+H93+H92</f>
        <v>11.421861656703683</v>
      </c>
      <c r="I95" s="32">
        <f>+I85+I88+I89+I91+I93+I92</f>
        <v>35.727140128104288</v>
      </c>
      <c r="J95" s="32">
        <f>+J85+J88+J89+J91+J93+J92-0.02</f>
        <v>6.2876102081786573</v>
      </c>
      <c r="K95" s="32"/>
      <c r="L95" s="32">
        <f>+L85+L88+L89+L91+L93+L92+0.01</f>
        <v>-25.257602412666508</v>
      </c>
      <c r="M95" s="32">
        <f>+M85+M88+M89+M91+M93+M92</f>
        <v>32.094594594594589</v>
      </c>
      <c r="N95" s="32">
        <f>+N85+N88+N89+N91+N93+N92</f>
        <v>68.366985476443503</v>
      </c>
      <c r="O95" s="32">
        <f>+O85+O88+O89+O90+O91+O93+O92</f>
        <v>14.028742432416216</v>
      </c>
      <c r="P95" s="32">
        <f>+P85+P88+P89+P90+P91+P93+P92</f>
        <v>23.021190991181768</v>
      </c>
      <c r="Q95" s="32"/>
      <c r="R95" s="32">
        <f>+R85+R88+R89+R90+R91+R93+R92</f>
        <v>46.789447486311602</v>
      </c>
      <c r="S95" s="32">
        <f t="shared" ref="S95:U95" si="75">+S85+S88+S89+S90+S91+S93+S92</f>
        <v>17.22133092034726</v>
      </c>
      <c r="T95" s="32">
        <f t="shared" si="75"/>
        <v>-3.819709702062656</v>
      </c>
      <c r="U95" s="32">
        <f t="shared" si="75"/>
        <v>35.150236998025022</v>
      </c>
      <c r="V95" s="32">
        <f>+V85+V88+V89+V90+V91+V93+V92</f>
        <v>23.875893869736561</v>
      </c>
      <c r="W95" s="32"/>
      <c r="X95" s="32">
        <f>+X85+X88+X89+X90+X91+X93+X92</f>
        <v>-2.738411116219595</v>
      </c>
      <c r="Y95" s="32">
        <f t="shared" ref="Y95:AA95" si="76">+Y85+Y88+Y89+Y90+Y91+Y93+Y92</f>
        <v>1.6209314510260526</v>
      </c>
      <c r="Z95" s="32">
        <f t="shared" si="76"/>
        <v>36.277602523659304</v>
      </c>
      <c r="AA95" s="32">
        <f t="shared" si="76"/>
        <v>3.155237613408417</v>
      </c>
      <c r="AB95" s="32">
        <f>+AB85+AB88+AB89+AB90+AB91+AB93+AB92</f>
        <v>12.87793952866433</v>
      </c>
      <c r="AC95" s="32"/>
      <c r="AD95" s="32">
        <f>+AD85+AD88+AD89+AD90+AD91+AD93+AD92</f>
        <v>12.801567796945019</v>
      </c>
      <c r="AE95" s="32">
        <f t="shared" ref="AE95:AG95" si="77">+AE85+AE88+AE89+AE90+AE91+AE93+AE92</f>
        <v>19.382173206147822</v>
      </c>
      <c r="AF95" s="32">
        <f t="shared" si="77"/>
        <v>0</v>
      </c>
      <c r="AG95" s="32">
        <f t="shared" si="77"/>
        <v>0</v>
      </c>
      <c r="AH95" s="32">
        <f>+AH85+AH88+AH89+AH90+AH91+AH93+AH92</f>
        <v>16.069758663250653</v>
      </c>
    </row>
    <row r="96" spans="2:34" ht="14.65" customHeight="1" x14ac:dyDescent="0.2">
      <c r="B96" s="37" t="s">
        <v>59</v>
      </c>
      <c r="C96" s="7"/>
      <c r="E96" s="82"/>
      <c r="F96" s="45">
        <f>F42/(F118)*1000</f>
        <v>0</v>
      </c>
      <c r="G96" s="45">
        <f>G42/(G118)*1000</f>
        <v>0</v>
      </c>
      <c r="H96" s="59">
        <f>H42/(H118)*1000</f>
        <v>0</v>
      </c>
      <c r="I96" s="59">
        <f>I42/(I118)*1000</f>
        <v>44.499381953028433</v>
      </c>
      <c r="J96" s="59">
        <f>J42/(J118)*1000-0.01</f>
        <v>10.880190578335121</v>
      </c>
      <c r="K96" s="52"/>
      <c r="L96" s="45">
        <f>L42/(L118)*1000</f>
        <v>3.2671525508921841</v>
      </c>
      <c r="M96" s="45">
        <f>M42/(M118)*1000</f>
        <v>-9.1698841698841704</v>
      </c>
      <c r="N96" s="59">
        <f>N42/(N118)*1000</f>
        <v>-18.065887353878853</v>
      </c>
      <c r="O96" s="59">
        <f>O42/(O118)*1000</f>
        <v>-4.0760055145956962</v>
      </c>
      <c r="P96" s="59">
        <f>P42/(P118)*1000</f>
        <v>-7.169543055072376</v>
      </c>
      <c r="R96" s="45">
        <f>R42/(R118)*1000</f>
        <v>-9.3330014932802392</v>
      </c>
      <c r="S96" s="45">
        <f>S42/(S118)*1000</f>
        <v>-4.8446709257273701</v>
      </c>
      <c r="T96" s="59">
        <f>T42/(T118)*1000</f>
        <v>1.0185892538833714</v>
      </c>
      <c r="U96" s="59">
        <f>U42/(U118)*1000</f>
        <v>-10.401579986833443</v>
      </c>
      <c r="V96" s="59">
        <f>V42/(V118)*1000</f>
        <v>-5.8732145348015097</v>
      </c>
      <c r="X96" s="45">
        <f>X42/(X118)*1000</f>
        <v>1.2971421076829728</v>
      </c>
      <c r="Y96" s="45">
        <f>Y42/(Y118)*1000</f>
        <v>-0.43661766846165045</v>
      </c>
      <c r="Z96" s="59">
        <f>Z42/(Z118)*1000</f>
        <v>-10.365029292474087</v>
      </c>
      <c r="AA96" s="59">
        <f>AA42/(AA118)*1000</f>
        <v>-0.61650713260220724</v>
      </c>
      <c r="AB96" s="59">
        <f>AB42/(AB118)*1000</f>
        <v>-3.4913014225058263</v>
      </c>
      <c r="AD96" s="45">
        <f>AD42/(AD118)*1000</f>
        <v>-3.714035101582811</v>
      </c>
      <c r="AE96" s="45">
        <f>AE42/(AE118)*1000</f>
        <v>-5.6064137373154885</v>
      </c>
      <c r="AF96" s="59">
        <f>AF42/(AF118)*1000</f>
        <v>0</v>
      </c>
      <c r="AG96" s="59">
        <f>AG42/(AG118)*1000</f>
        <v>0</v>
      </c>
      <c r="AH96" s="59">
        <f>AH42/(AH118)*1000</f>
        <v>-4.6538657514859549</v>
      </c>
    </row>
    <row r="97" spans="2:34 16259:16259" ht="14.65" customHeight="1" x14ac:dyDescent="0.2">
      <c r="B97" s="1" t="s">
        <v>24</v>
      </c>
      <c r="C97" s="29"/>
      <c r="D97" s="28"/>
      <c r="E97" s="82"/>
      <c r="F97" s="44">
        <f>SUM(F95:F96)</f>
        <v>-9.9352452788020962</v>
      </c>
      <c r="G97" s="44">
        <f>SUM(G95:G96)</f>
        <v>-11.699103433194837</v>
      </c>
      <c r="H97" s="52">
        <f>SUM(H95:H96)</f>
        <v>11.421861656703683</v>
      </c>
      <c r="I97" s="52">
        <f>SUM(I95:I96)</f>
        <v>80.226522081132714</v>
      </c>
      <c r="J97" s="52">
        <f>SUM(J95:J96)</f>
        <v>17.16780078651378</v>
      </c>
      <c r="K97" s="52"/>
      <c r="L97" s="44">
        <f>SUM(L95:L96)</f>
        <v>-21.990449861774323</v>
      </c>
      <c r="M97" s="44">
        <f>SUM(M95:M96)</f>
        <v>22.924710424710419</v>
      </c>
      <c r="N97" s="52">
        <f>SUM(N95:N96)</f>
        <v>50.301098122564653</v>
      </c>
      <c r="O97" s="52">
        <f>SUM(O95:O96)</f>
        <v>9.9527369178205198</v>
      </c>
      <c r="P97" s="52">
        <f>SUM(P95:P96)</f>
        <v>15.851647936109392</v>
      </c>
      <c r="Q97" s="32"/>
      <c r="R97" s="44">
        <f>SUM(R95:R96)</f>
        <v>37.456445993031366</v>
      </c>
      <c r="S97" s="44">
        <f>SUM(S95:S96)</f>
        <v>12.376659994619889</v>
      </c>
      <c r="T97" s="52">
        <f>SUM(T95:T96)</f>
        <v>-2.8011204481792848</v>
      </c>
      <c r="U97" s="52">
        <f>SUM(U95:U96)</f>
        <v>24.748657011191579</v>
      </c>
      <c r="V97" s="52">
        <f>SUM(V95:V96)</f>
        <v>18.002679334935053</v>
      </c>
      <c r="W97" s="52"/>
      <c r="X97" s="44">
        <f>SUM(X95:X96)</f>
        <v>-1.4412690085366222</v>
      </c>
      <c r="Y97" s="44">
        <f>SUM(Y95:Y96)</f>
        <v>1.1843137825644021</v>
      </c>
      <c r="Z97" s="52">
        <f>SUM(Z95:Z96)</f>
        <v>25.912573231185217</v>
      </c>
      <c r="AA97" s="52">
        <f>SUM(AA95:AA96)</f>
        <v>2.5387304808062097</v>
      </c>
      <c r="AB97" s="52">
        <f>SUM(AB95:AB96)-0.01</f>
        <v>9.376638106158504</v>
      </c>
      <c r="AC97" s="52"/>
      <c r="AD97" s="44">
        <f>SUM(AD95:AD96)</f>
        <v>9.0875326953622082</v>
      </c>
      <c r="AE97" s="44">
        <f>SUM(AE95:AE96)</f>
        <v>13.775759468832334</v>
      </c>
      <c r="AF97" s="52">
        <f>SUM(AF95:AF96)</f>
        <v>0</v>
      </c>
      <c r="AG97" s="52">
        <f>SUM(AG95:AG96)</f>
        <v>0</v>
      </c>
      <c r="AH97" s="52">
        <f>SUM(AH95:AH96)</f>
        <v>11.415892911764697</v>
      </c>
    </row>
    <row r="98" spans="2:34 16259:16259" ht="4.1500000000000004" customHeight="1" x14ac:dyDescent="0.2">
      <c r="B98" s="1"/>
      <c r="C98" s="29"/>
      <c r="D98" s="28"/>
      <c r="E98" s="82"/>
      <c r="F98" s="44"/>
      <c r="G98" s="44"/>
      <c r="H98" s="52"/>
      <c r="I98" s="52"/>
      <c r="J98" s="52"/>
      <c r="K98" s="52"/>
      <c r="L98" s="44"/>
      <c r="M98" s="44"/>
      <c r="N98" s="52"/>
      <c r="O98" s="52"/>
      <c r="P98" s="52"/>
      <c r="R98" s="44"/>
      <c r="S98" s="44"/>
      <c r="T98" s="52"/>
      <c r="U98" s="52"/>
      <c r="V98" s="52"/>
      <c r="X98" s="44"/>
      <c r="Y98" s="44"/>
      <c r="Z98" s="52"/>
      <c r="AA98" s="52"/>
      <c r="AB98" s="52"/>
      <c r="AD98" s="44"/>
      <c r="AE98" s="44"/>
      <c r="AF98" s="52"/>
      <c r="AG98" s="52"/>
      <c r="AH98" s="52"/>
    </row>
    <row r="99" spans="2:34 16259:16259" ht="14.65" customHeight="1" x14ac:dyDescent="0.2">
      <c r="B99" s="79" t="s">
        <v>39</v>
      </c>
      <c r="C99" s="29"/>
      <c r="E99" s="82"/>
      <c r="H99" s="34"/>
      <c r="I99" s="34"/>
      <c r="J99" s="34"/>
      <c r="K99" s="34"/>
      <c r="N99" s="34"/>
      <c r="O99" s="34"/>
      <c r="P99" s="34"/>
      <c r="T99" s="34"/>
      <c r="U99" s="34"/>
      <c r="V99" s="34"/>
      <c r="Z99" s="34"/>
      <c r="AA99" s="34"/>
      <c r="AB99" s="34"/>
      <c r="AF99" s="34"/>
      <c r="AG99" s="34"/>
      <c r="AH99" s="34"/>
      <c r="XAI99" s="45"/>
    </row>
    <row r="100" spans="2:34 16259:16259" ht="14.65" customHeight="1" x14ac:dyDescent="0.2">
      <c r="B100" s="68" t="s">
        <v>38</v>
      </c>
      <c r="C100" s="29"/>
      <c r="D100" s="28"/>
      <c r="E100" s="82"/>
      <c r="F100" s="44">
        <f>F46/(F118)*1000</f>
        <v>0</v>
      </c>
      <c r="G100" s="44">
        <f>G46/(G118)*1000</f>
        <v>0</v>
      </c>
      <c r="H100" s="52">
        <f>H46/(H118)*1000</f>
        <v>0</v>
      </c>
      <c r="I100" s="52">
        <f>I46/(I118)*1000</f>
        <v>0</v>
      </c>
      <c r="J100" s="52">
        <f>J46/(J118)*1000</f>
        <v>0</v>
      </c>
      <c r="K100" s="52"/>
      <c r="L100" s="44">
        <f>L46/(L118)*1000</f>
        <v>0</v>
      </c>
      <c r="M100" s="44">
        <f>M46/(M118)*1000</f>
        <v>0</v>
      </c>
      <c r="N100" s="52">
        <f>N46/(N118)*1000</f>
        <v>0</v>
      </c>
      <c r="O100" s="52">
        <f>O46/(O118)*1000</f>
        <v>0</v>
      </c>
      <c r="P100" s="52">
        <f>P46/(P118)*1000</f>
        <v>0</v>
      </c>
      <c r="R100" s="44">
        <f>R46/(R118)*1000</f>
        <v>0</v>
      </c>
      <c r="S100" s="44">
        <f>S46/(S118)*1000</f>
        <v>0</v>
      </c>
      <c r="T100" s="52">
        <f>T46/(T118)*1000</f>
        <v>0</v>
      </c>
      <c r="U100" s="52">
        <f>U46/(U118)*1000</f>
        <v>0</v>
      </c>
      <c r="V100" s="52">
        <f>V46/(V118)*1000</f>
        <v>0</v>
      </c>
      <c r="X100" s="44">
        <f>X46/(X118)*1000</f>
        <v>0</v>
      </c>
      <c r="Y100" s="44">
        <f>Y46/(Y118)*1000</f>
        <v>0</v>
      </c>
      <c r="Z100" s="52">
        <f>Z46/(Z118)*1000</f>
        <v>0</v>
      </c>
      <c r="AA100" s="52">
        <f>AA46/(AA118)*1000</f>
        <v>0</v>
      </c>
      <c r="AB100" s="52">
        <f>AB46/(AB118)*1000</f>
        <v>0</v>
      </c>
      <c r="AD100" s="44">
        <f>AD46/(AD118)*1000</f>
        <v>0</v>
      </c>
      <c r="AE100" s="44">
        <f>AE46/(AE118)*1000</f>
        <v>0</v>
      </c>
      <c r="AF100" s="52">
        <f>AF46/(AF118)*1000</f>
        <v>0</v>
      </c>
      <c r="AG100" s="52">
        <f>AG46/(AG118)*1000</f>
        <v>0</v>
      </c>
      <c r="AH100" s="52">
        <f>AH46/(AH118)*1000</f>
        <v>0</v>
      </c>
      <c r="XAI100" s="44"/>
    </row>
    <row r="101" spans="2:34 16259:16259" ht="14.65" customHeight="1" x14ac:dyDescent="0.2">
      <c r="B101" s="68" t="s">
        <v>60</v>
      </c>
      <c r="C101" s="29"/>
      <c r="D101" s="28"/>
      <c r="E101" s="82"/>
      <c r="F101" s="45">
        <f>F47/(F118)*1000</f>
        <v>-0.55872164487652254</v>
      </c>
      <c r="G101" s="45">
        <f>G47/(G118)*1000</f>
        <v>-0.43734966105401268</v>
      </c>
      <c r="H101" s="59">
        <f>H47/(H118)*1000</f>
        <v>-0.42698548249359519</v>
      </c>
      <c r="I101" s="59">
        <f>I47/(I118)*1000</f>
        <v>0</v>
      </c>
      <c r="J101" s="59">
        <f>J47/(J118)*1000</f>
        <v>-0.35750625635948624</v>
      </c>
      <c r="K101" s="52"/>
      <c r="L101" s="45">
        <f>L47/(L118)*1000</f>
        <v>0</v>
      </c>
      <c r="M101" s="45">
        <f>M47/(M118)*1000</f>
        <v>0</v>
      </c>
      <c r="N101" s="59">
        <f>N47/(N118)*1000</f>
        <v>0</v>
      </c>
      <c r="O101" s="59">
        <f>O47/(O118)*1000</f>
        <v>0</v>
      </c>
      <c r="P101" s="59">
        <f>P47/(P118)*1000</f>
        <v>0</v>
      </c>
      <c r="R101" s="45">
        <f>R47/(R118)*1000</f>
        <v>0</v>
      </c>
      <c r="S101" s="45">
        <f>S47/(S118)*1000</f>
        <v>0</v>
      </c>
      <c r="T101" s="59">
        <f>T47/(T118)*1000</f>
        <v>0</v>
      </c>
      <c r="U101" s="59">
        <f>U47/(U118)*1000</f>
        <v>0</v>
      </c>
      <c r="V101" s="59">
        <f>V47/(V118)*1000</f>
        <v>0</v>
      </c>
      <c r="X101" s="45">
        <f>X47/(X118)*1000</f>
        <v>0</v>
      </c>
      <c r="Y101" s="45">
        <f>Y47/(Y118)*1000</f>
        <v>0</v>
      </c>
      <c r="Z101" s="59">
        <f>Z47/(Z118)*1000</f>
        <v>0</v>
      </c>
      <c r="AA101" s="59">
        <f>AA47/(AA118)*1000</f>
        <v>0</v>
      </c>
      <c r="AB101" s="59">
        <f>AB47/(AB118)*1000</f>
        <v>0</v>
      </c>
      <c r="AD101" s="45">
        <f>AD47/(AD118)*1000</f>
        <v>0</v>
      </c>
      <c r="AE101" s="45">
        <f>AE47/(AE118)*1000</f>
        <v>0</v>
      </c>
      <c r="AF101" s="59">
        <f>AF47/(AF118)*1000</f>
        <v>0</v>
      </c>
      <c r="AG101" s="59">
        <f>AG47/(AG118)*1000</f>
        <v>0</v>
      </c>
      <c r="AH101" s="59">
        <f>AH47/(AH118)*1000</f>
        <v>0</v>
      </c>
      <c r="XAI101" s="44"/>
    </row>
    <row r="102" spans="2:34 16259:16259" ht="14.65" customHeight="1" x14ac:dyDescent="0.2">
      <c r="B102" s="68" t="s">
        <v>40</v>
      </c>
      <c r="C102" s="29"/>
      <c r="D102" s="28"/>
      <c r="E102" s="82"/>
      <c r="F102" s="44">
        <f>+F100+F101</f>
        <v>-0.55872164487652254</v>
      </c>
      <c r="G102" s="44">
        <f>+G100+G101</f>
        <v>-0.43734966105401268</v>
      </c>
      <c r="H102" s="52">
        <f>+H100+H101</f>
        <v>-0.42698548249359519</v>
      </c>
      <c r="I102" s="52">
        <f>+I100+I101</f>
        <v>0</v>
      </c>
      <c r="J102" s="52">
        <f>+J100+J101</f>
        <v>-0.35750625635948624</v>
      </c>
      <c r="K102" s="52"/>
      <c r="L102" s="44">
        <f>+L100+L101</f>
        <v>0</v>
      </c>
      <c r="M102" s="44">
        <f>+M100+M101</f>
        <v>0</v>
      </c>
      <c r="N102" s="52">
        <f>+N100+N101</f>
        <v>0</v>
      </c>
      <c r="O102" s="52">
        <f>+O100+O101</f>
        <v>0</v>
      </c>
      <c r="P102" s="52">
        <f>+P100+P101</f>
        <v>0</v>
      </c>
      <c r="R102" s="44">
        <f>+R100+R101</f>
        <v>0</v>
      </c>
      <c r="S102" s="44">
        <f>+S100+S101</f>
        <v>0</v>
      </c>
      <c r="T102" s="52">
        <f>+T100+T101</f>
        <v>0</v>
      </c>
      <c r="U102" s="52">
        <f>+U100+U101</f>
        <v>0</v>
      </c>
      <c r="V102" s="52">
        <f>+V100+V101</f>
        <v>0</v>
      </c>
      <c r="X102" s="44">
        <f>+X100+X101</f>
        <v>0</v>
      </c>
      <c r="Y102" s="44">
        <f>+Y100+Y101</f>
        <v>0</v>
      </c>
      <c r="Z102" s="52">
        <f>+Z100+Z101</f>
        <v>0</v>
      </c>
      <c r="AA102" s="52">
        <f>+AA100+AA101</f>
        <v>0</v>
      </c>
      <c r="AB102" s="52">
        <f>+AB100+AB101</f>
        <v>0</v>
      </c>
      <c r="AD102" s="44">
        <f>+AD100+AD101</f>
        <v>0</v>
      </c>
      <c r="AE102" s="44">
        <f>+AE100+AE101</f>
        <v>0</v>
      </c>
      <c r="AF102" s="52">
        <f>+AF100+AF101</f>
        <v>0</v>
      </c>
      <c r="AG102" s="52">
        <f>+AG100+AG101</f>
        <v>0</v>
      </c>
      <c r="AH102" s="52">
        <f>+AH100+AH101</f>
        <v>0</v>
      </c>
      <c r="XAI102" s="44"/>
    </row>
    <row r="103" spans="2:34 16259:16259" ht="1.9" customHeight="1" x14ac:dyDescent="0.2">
      <c r="B103" s="68"/>
      <c r="C103" s="29"/>
      <c r="D103" s="28"/>
      <c r="E103" s="82"/>
      <c r="F103" s="44"/>
      <c r="G103" s="44"/>
      <c r="H103" s="52"/>
      <c r="I103" s="52"/>
      <c r="J103" s="52"/>
      <c r="K103" s="52"/>
      <c r="L103" s="44"/>
      <c r="M103" s="44"/>
      <c r="N103" s="52"/>
      <c r="O103" s="52"/>
      <c r="P103" s="52"/>
      <c r="R103" s="44"/>
      <c r="S103" s="44"/>
      <c r="T103" s="52"/>
      <c r="U103" s="52"/>
      <c r="V103" s="52"/>
      <c r="X103" s="44"/>
      <c r="Y103" s="44"/>
      <c r="Z103" s="52"/>
      <c r="AA103" s="52"/>
      <c r="AB103" s="52"/>
      <c r="AD103" s="44"/>
      <c r="AE103" s="44"/>
      <c r="AF103" s="52"/>
      <c r="AG103" s="52"/>
      <c r="AH103" s="52"/>
      <c r="XAI103" s="44"/>
    </row>
    <row r="104" spans="2:34 16259:16259" ht="14.65" customHeight="1" thickBot="1" x14ac:dyDescent="0.25">
      <c r="B104" s="1" t="s">
        <v>25</v>
      </c>
      <c r="C104" s="29"/>
      <c r="D104" s="28"/>
      <c r="E104" s="82"/>
      <c r="F104" s="46">
        <f>+F97+F102-0.01</f>
        <v>-10.503966923678618</v>
      </c>
      <c r="G104" s="46">
        <f>+G97+G102</f>
        <v>-12.13645309424885</v>
      </c>
      <c r="H104" s="80">
        <f>+H97+H102</f>
        <v>10.994876174210088</v>
      </c>
      <c r="I104" s="80">
        <f>+I97+I102</f>
        <v>80.226522081132714</v>
      </c>
      <c r="J104" s="80">
        <f>+J97+J102</f>
        <v>16.810294530154295</v>
      </c>
      <c r="K104" s="78"/>
      <c r="L104" s="46">
        <f>+L97+L102</f>
        <v>-21.990449861774323</v>
      </c>
      <c r="M104" s="46">
        <f>+M97+M102</f>
        <v>22.924710424710419</v>
      </c>
      <c r="N104" s="80">
        <f>+N97+N102</f>
        <v>50.301098122564653</v>
      </c>
      <c r="O104" s="80">
        <f>+O97+O102</f>
        <v>9.9527369178205198</v>
      </c>
      <c r="P104" s="80">
        <f>+P97+P102</f>
        <v>15.851647936109392</v>
      </c>
      <c r="Q104" s="78"/>
      <c r="R104" s="46">
        <f>+R97+R102</f>
        <v>37.456445993031366</v>
      </c>
      <c r="S104" s="46">
        <f>+S97+S102</f>
        <v>12.376659994619889</v>
      </c>
      <c r="T104" s="80">
        <f>+T97+T102</f>
        <v>-2.8011204481792848</v>
      </c>
      <c r="U104" s="80">
        <f>+U97+U102</f>
        <v>24.748657011191579</v>
      </c>
      <c r="V104" s="80">
        <f>+V97+V102</f>
        <v>18.002679334935053</v>
      </c>
      <c r="X104" s="46">
        <f>+X97+X102</f>
        <v>-1.4412690085366222</v>
      </c>
      <c r="Y104" s="46">
        <f>+Y97+Y102</f>
        <v>1.1843137825644021</v>
      </c>
      <c r="Z104" s="80">
        <f>+Z97+Z102</f>
        <v>25.912573231185217</v>
      </c>
      <c r="AA104" s="80">
        <f>+AA97+AA102</f>
        <v>2.5387304808062097</v>
      </c>
      <c r="AB104" s="80">
        <f>+AB97+AB102</f>
        <v>9.376638106158504</v>
      </c>
      <c r="AD104" s="46">
        <f>+AD97+AD102</f>
        <v>9.0875326953622082</v>
      </c>
      <c r="AE104" s="46">
        <f>+AE97+AE102</f>
        <v>13.775759468832334</v>
      </c>
      <c r="AF104" s="80">
        <f>+AF97+AF102</f>
        <v>0</v>
      </c>
      <c r="AG104" s="80">
        <f>+AG97+AG102</f>
        <v>0</v>
      </c>
      <c r="AH104" s="80">
        <f>+AH97+AH102</f>
        <v>11.415892911764697</v>
      </c>
    </row>
    <row r="105" spans="2:34 16259:16259" ht="13.5" thickTop="1" x14ac:dyDescent="0.2">
      <c r="G105" s="23"/>
      <c r="H105" s="57"/>
      <c r="I105" s="57"/>
      <c r="J105" s="34"/>
      <c r="K105" s="34"/>
      <c r="M105" s="23"/>
      <c r="N105" s="57"/>
      <c r="O105" s="57"/>
      <c r="P105" s="34"/>
      <c r="S105" s="43"/>
      <c r="T105" s="57"/>
      <c r="U105" s="57"/>
      <c r="V105" s="34"/>
      <c r="Y105" s="43"/>
      <c r="Z105" s="57"/>
      <c r="AA105" s="57"/>
      <c r="AB105" s="34"/>
      <c r="AE105" s="43"/>
      <c r="AF105" s="57"/>
      <c r="AG105" s="57"/>
      <c r="AH105" s="34"/>
    </row>
    <row r="106" spans="2:34 16259:16259" x14ac:dyDescent="0.2">
      <c r="B106" t="s">
        <v>65</v>
      </c>
      <c r="E106" s="92"/>
      <c r="F106" s="91">
        <f>F56/(F118)*1000</f>
        <v>43.915521287294673</v>
      </c>
      <c r="G106" s="91">
        <f>G56/(G118)*1000</f>
        <v>43.297616444347256</v>
      </c>
      <c r="H106" s="91">
        <f>H56/(H118)*1000</f>
        <v>48.035866780529467</v>
      </c>
      <c r="I106" s="91">
        <f>I56/(I118)*1000</f>
        <v>55.062366558040225</v>
      </c>
      <c r="J106" s="91">
        <f>J56/(J118)*1000</f>
        <v>47.548332095811674</v>
      </c>
      <c r="K106" s="92"/>
      <c r="L106" s="91">
        <f>L56/(L118)*1000</f>
        <v>56.169891932646394</v>
      </c>
      <c r="M106" s="91">
        <f>M56/(M118)*1000</f>
        <v>57.553088803088805</v>
      </c>
      <c r="N106" s="91">
        <f>N56/(N118)*1000</f>
        <v>58.802692171448811</v>
      </c>
      <c r="O106" s="91">
        <f>O56/(O118)*1000</f>
        <v>57.903254810285922</v>
      </c>
      <c r="P106" s="91">
        <f>P56/(P118)*1000</f>
        <v>57.628605569252642</v>
      </c>
      <c r="R106" s="91">
        <f>R56/(R118)*1000</f>
        <v>80.886012941762061</v>
      </c>
      <c r="S106" s="91">
        <f>S56/(S118)*1000</f>
        <v>48.95667461787658</v>
      </c>
      <c r="T106" s="91">
        <f>T56/(T118)*1000</f>
        <v>52.839317545199897</v>
      </c>
      <c r="U106" s="91">
        <f>U56/(U118)*1000</f>
        <v>57.142857142857139</v>
      </c>
      <c r="V106" s="91">
        <f>V56/(V118)*1000</f>
        <v>60.104690049082841</v>
      </c>
      <c r="X106" s="91">
        <f>X56/(X118)*1000</f>
        <v>60.100917655977732</v>
      </c>
      <c r="Y106" s="91">
        <f>Y56/(Y118)*1000</f>
        <v>59.088924465143357</v>
      </c>
      <c r="Z106" s="91">
        <f>Z56/(Z118)*1000</f>
        <v>64.067898452756495</v>
      </c>
      <c r="AA106" s="91">
        <f>AA56/(AA118)*1000</f>
        <v>63.808488224328457</v>
      </c>
      <c r="AB106" s="91">
        <f>AB56/(AB118)*1000</f>
        <v>62.44441972824707</v>
      </c>
      <c r="AD106" s="91">
        <f>AD56/(AD118)*1000</f>
        <v>63.059574703469856</v>
      </c>
      <c r="AE106" s="91">
        <f>AE56/(AE118)*1000</f>
        <v>57.585878244711942</v>
      </c>
      <c r="AF106" s="91">
        <f>AF56/(AF118)*1000</f>
        <v>0</v>
      </c>
      <c r="AG106" s="91">
        <f>AG56/(AG118)*1000</f>
        <v>0</v>
      </c>
      <c r="AH106" s="91">
        <f>AH56/(AH118)*1000</f>
        <v>60.341148247899099</v>
      </c>
    </row>
    <row r="107" spans="2:34 16259:16259" x14ac:dyDescent="0.2">
      <c r="G107" s="23"/>
      <c r="H107" s="57"/>
      <c r="I107" s="57"/>
      <c r="J107" s="34"/>
      <c r="K107" s="34"/>
      <c r="M107" s="23"/>
      <c r="N107" s="57"/>
      <c r="O107" s="57"/>
      <c r="P107" s="34"/>
      <c r="S107" s="23"/>
      <c r="T107" s="57"/>
      <c r="U107" s="57"/>
      <c r="V107" s="34"/>
      <c r="Y107" s="23"/>
      <c r="Z107" s="57"/>
      <c r="AA107" s="57"/>
      <c r="AB107" s="34"/>
      <c r="AE107" s="23"/>
      <c r="AF107" s="57"/>
      <c r="AG107" s="57"/>
      <c r="AH107" s="34"/>
    </row>
    <row r="108" spans="2:34 16259:16259" x14ac:dyDescent="0.2">
      <c r="F108" s="32"/>
      <c r="G108" s="61"/>
      <c r="H108" s="61"/>
      <c r="I108" s="32"/>
      <c r="J108" s="32"/>
      <c r="K108" s="32"/>
      <c r="L108" s="32"/>
      <c r="M108" s="61"/>
      <c r="N108" s="61"/>
      <c r="O108" s="32"/>
      <c r="P108" s="32"/>
    </row>
    <row r="109" spans="2:34 16259:16259" hidden="1" outlineLevel="1" x14ac:dyDescent="0.2">
      <c r="B109" s="75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</row>
    <row r="110" spans="2:34 16259:16259" ht="6" hidden="1" customHeight="1" outlineLevel="1" x14ac:dyDescent="0.2">
      <c r="B110" s="75"/>
    </row>
    <row r="111" spans="2:34 16259:16259" hidden="1" outlineLevel="1" x14ac:dyDescent="0.2">
      <c r="B111" s="75"/>
    </row>
    <row r="112" spans="2:34 16259:16259" hidden="1" outlineLevel="1" x14ac:dyDescent="0.2">
      <c r="B112" s="75"/>
    </row>
    <row r="113" spans="1:34" ht="9" hidden="1" customHeight="1" outlineLevel="1" x14ac:dyDescent="0.2">
      <c r="B113" s="75"/>
    </row>
    <row r="114" spans="1:34" hidden="1" outlineLevel="1" x14ac:dyDescent="0.2">
      <c r="B114" s="75"/>
      <c r="J114" s="32"/>
      <c r="K114" s="32"/>
      <c r="P114" s="32"/>
    </row>
    <row r="115" spans="1:34" ht="15" hidden="1" outlineLevel="1" x14ac:dyDescent="0.2">
      <c r="B115" s="76"/>
    </row>
    <row r="116" spans="1:34" ht="15" hidden="1" outlineLevel="1" x14ac:dyDescent="0.2">
      <c r="B116" s="76"/>
    </row>
    <row r="117" spans="1:34" hidden="1" outlineLevel="1" x14ac:dyDescent="0.2">
      <c r="J117" s="42"/>
      <c r="K117" s="42"/>
      <c r="P117" s="42"/>
    </row>
    <row r="118" spans="1:34" s="34" customFormat="1" hidden="1" outlineLevel="1" x14ac:dyDescent="0.2">
      <c r="B118" s="34" t="s">
        <v>50</v>
      </c>
      <c r="F118" s="84">
        <v>8949</v>
      </c>
      <c r="G118" s="84">
        <v>9146</v>
      </c>
      <c r="H118" s="84">
        <v>9368</v>
      </c>
      <c r="I118" s="84">
        <v>8899</v>
      </c>
      <c r="J118" s="84">
        <v>36363</v>
      </c>
      <c r="K118" s="84"/>
      <c r="L118" s="84">
        <v>7958</v>
      </c>
      <c r="M118" s="84">
        <v>8288</v>
      </c>
      <c r="N118" s="84">
        <v>8469</v>
      </c>
      <c r="O118" s="84">
        <v>8341.5</v>
      </c>
      <c r="P118" s="84">
        <f>SUM(L118:O118)</f>
        <v>33056.5</v>
      </c>
      <c r="R118" s="84">
        <v>8036</v>
      </c>
      <c r="S118" s="84">
        <v>7843.67</v>
      </c>
      <c r="T118" s="84">
        <v>7854</v>
      </c>
      <c r="U118" s="84">
        <v>7595</v>
      </c>
      <c r="V118" s="96">
        <f>SUM(R118:U118)</f>
        <v>31328.67</v>
      </c>
      <c r="X118" s="84">
        <v>6938.33</v>
      </c>
      <c r="Y118" s="84">
        <v>6871</v>
      </c>
      <c r="Z118" s="84">
        <v>13314</v>
      </c>
      <c r="AA118" s="84">
        <v>12976.33</v>
      </c>
      <c r="AB118" s="96">
        <f>SUM(X118:AA118)</f>
        <v>40099.660000000003</v>
      </c>
      <c r="AD118" s="84">
        <v>12654.7</v>
      </c>
      <c r="AE118" s="84">
        <v>12485.7</v>
      </c>
      <c r="AF118" s="84">
        <v>-0.02</v>
      </c>
      <c r="AG118" s="84">
        <v>0.01</v>
      </c>
      <c r="AH118" s="96">
        <f>SUM(AD118:AG118)</f>
        <v>25140.39</v>
      </c>
    </row>
    <row r="119" spans="1:34" s="34" customFormat="1" ht="12" hidden="1" customHeight="1" outlineLevel="1" x14ac:dyDescent="0.2">
      <c r="D119" s="85"/>
      <c r="F119" s="84">
        <v>0</v>
      </c>
      <c r="G119" s="84">
        <v>0</v>
      </c>
      <c r="H119" s="84">
        <v>0</v>
      </c>
      <c r="I119" s="86">
        <v>0</v>
      </c>
      <c r="J119" s="84">
        <f>+F119+G119+H119+I119</f>
        <v>0</v>
      </c>
      <c r="K119" s="84"/>
      <c r="L119" s="84">
        <v>0</v>
      </c>
      <c r="M119" s="84">
        <v>0</v>
      </c>
      <c r="N119" s="84">
        <v>0</v>
      </c>
      <c r="O119" s="86">
        <v>0</v>
      </c>
      <c r="P119" s="84">
        <f>+L119+M119+N119+O119</f>
        <v>0</v>
      </c>
    </row>
    <row r="120" spans="1:34" collapsed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</row>
    <row r="121" spans="1:34" x14ac:dyDescent="0.2">
      <c r="A121" s="34"/>
      <c r="B121" s="34"/>
      <c r="C121" s="34"/>
      <c r="D121" s="34"/>
      <c r="E121" s="34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34" x14ac:dyDescent="0.2">
      <c r="A122" s="34"/>
      <c r="B122" s="34"/>
      <c r="C122" s="34"/>
      <c r="D122" s="34"/>
      <c r="E122" s="34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1:34" x14ac:dyDescent="0.2">
      <c r="A123" s="34"/>
      <c r="B123" s="34"/>
      <c r="C123" s="34"/>
      <c r="D123" s="34"/>
      <c r="E123" s="34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34" x14ac:dyDescent="0.2">
      <c r="A124" s="34"/>
      <c r="B124" s="34"/>
      <c r="C124" s="34"/>
      <c r="D124" s="34"/>
      <c r="E124" s="34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1:34" x14ac:dyDescent="0.2">
      <c r="A125" s="34"/>
      <c r="B125" s="34"/>
      <c r="C125" s="34"/>
      <c r="D125" s="34"/>
      <c r="E125" s="34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1:34" x14ac:dyDescent="0.2">
      <c r="A126" s="34"/>
      <c r="B126" s="34"/>
      <c r="C126" s="34"/>
      <c r="D126" s="34"/>
      <c r="E126" s="34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</row>
    <row r="127" spans="1:34" x14ac:dyDescent="0.2">
      <c r="A127" s="34"/>
      <c r="B127" s="34"/>
      <c r="C127" s="34"/>
      <c r="D127" s="34"/>
      <c r="E127" s="34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</row>
    <row r="128" spans="1:34" x14ac:dyDescent="0.2">
      <c r="G128" s="32"/>
      <c r="J128" s="32"/>
      <c r="K128" s="32"/>
      <c r="L128" s="32"/>
      <c r="M128" s="32"/>
      <c r="N128" s="32"/>
      <c r="O128" s="32"/>
      <c r="P128" s="32"/>
    </row>
    <row r="129" spans="7:16" x14ac:dyDescent="0.2">
      <c r="G129" s="32"/>
      <c r="J129" s="32"/>
      <c r="K129" s="32"/>
      <c r="L129" s="32"/>
      <c r="M129" s="32"/>
      <c r="N129" s="32"/>
      <c r="O129" s="32"/>
      <c r="P129" s="32"/>
    </row>
    <row r="130" spans="7:16" x14ac:dyDescent="0.2">
      <c r="G130" s="32"/>
      <c r="J130" s="32"/>
      <c r="K130" s="32"/>
      <c r="L130" s="32"/>
      <c r="M130" s="32"/>
      <c r="N130" s="32"/>
      <c r="O130" s="32"/>
      <c r="P130" s="32"/>
    </row>
    <row r="131" spans="7:16" x14ac:dyDescent="0.2">
      <c r="G131" s="32"/>
      <c r="J131" s="32"/>
      <c r="K131" s="32"/>
      <c r="L131" s="32"/>
      <c r="M131" s="32"/>
      <c r="N131" s="32"/>
      <c r="O131" s="32"/>
      <c r="P131" s="32"/>
    </row>
    <row r="132" spans="7:16" x14ac:dyDescent="0.2">
      <c r="G132" s="32"/>
      <c r="J132" s="32"/>
      <c r="K132" s="32"/>
      <c r="L132" s="32"/>
      <c r="M132" s="32"/>
      <c r="N132" s="32"/>
      <c r="O132" s="32"/>
      <c r="P132" s="32"/>
    </row>
    <row r="133" spans="7:16" x14ac:dyDescent="0.2">
      <c r="G133" s="32"/>
      <c r="J133" s="32"/>
      <c r="K133" s="32"/>
      <c r="L133" s="32"/>
      <c r="M133" s="32"/>
      <c r="N133" s="32"/>
      <c r="O133" s="32"/>
      <c r="P133" s="32"/>
    </row>
    <row r="134" spans="7:16" x14ac:dyDescent="0.2">
      <c r="G134" s="32"/>
      <c r="J134" s="32"/>
      <c r="K134" s="32"/>
      <c r="L134" s="32"/>
      <c r="M134" s="32"/>
      <c r="N134" s="32"/>
      <c r="O134" s="32"/>
      <c r="P134" s="32"/>
    </row>
  </sheetData>
  <pageMargins left="0.5" right="0.5" top="0.5" bottom="0.3" header="0" footer="0"/>
  <pageSetup scale="45" orientation="landscape" r:id="rId1"/>
  <ignoredErrors>
    <ignoredError sqref="J30 J41 P30 P41 V30 V41 AB30 AB41 I62 O62 U62 AA62 N65 T67 H82:Z85 AH30 AH41 AG6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33"/>
  <sheetViews>
    <sheetView showGridLines="0" workbookViewId="0">
      <selection activeCell="AK23" sqref="AK23"/>
    </sheetView>
  </sheetViews>
  <sheetFormatPr defaultRowHeight="12.75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18" max="22" width="0" hidden="1" customWidth="1"/>
    <col min="23" max="23" width="2.7109375" hidden="1" customWidth="1"/>
    <col min="29" max="29" width="2.85546875" customWidth="1"/>
  </cols>
  <sheetData>
    <row r="1" spans="1:34" x14ac:dyDescent="0.2">
      <c r="A1" t="s">
        <v>19</v>
      </c>
    </row>
    <row r="2" spans="1:34" ht="18" x14ac:dyDescent="0.25">
      <c r="B2" s="22" t="s">
        <v>0</v>
      </c>
    </row>
    <row r="4" spans="1:34" ht="15.75" x14ac:dyDescent="0.25">
      <c r="B4" s="98" t="s">
        <v>90</v>
      </c>
      <c r="E4" s="34"/>
    </row>
    <row r="5" spans="1:34" s="11" customFormat="1" ht="16.5" thickBot="1" x14ac:dyDescent="0.3">
      <c r="B5" s="24" t="s">
        <v>41</v>
      </c>
      <c r="C5" s="25"/>
      <c r="D5" s="83"/>
      <c r="E5" s="48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</row>
    <row r="6" spans="1:34" s="11" customFormat="1" ht="6" customHeight="1" thickTop="1" x14ac:dyDescent="0.2">
      <c r="A6" s="12"/>
      <c r="B6"/>
      <c r="C6" s="13"/>
      <c r="D6" s="14"/>
      <c r="E6" s="48"/>
      <c r="AD6"/>
      <c r="AE6"/>
      <c r="AF6"/>
      <c r="AG6"/>
      <c r="AH6"/>
    </row>
    <row r="7" spans="1:34" s="11" customFormat="1" x14ac:dyDescent="0.2">
      <c r="A7" s="12"/>
      <c r="B7"/>
      <c r="C7" s="13"/>
      <c r="D7" s="27"/>
      <c r="E7" s="48"/>
      <c r="F7" s="31" t="s">
        <v>44</v>
      </c>
      <c r="G7" s="31" t="s">
        <v>45</v>
      </c>
      <c r="H7" s="31" t="s">
        <v>46</v>
      </c>
      <c r="I7" s="31" t="s">
        <v>47</v>
      </c>
      <c r="J7" s="31" t="s">
        <v>1</v>
      </c>
      <c r="L7" s="31" t="s">
        <v>66</v>
      </c>
      <c r="M7" s="31" t="s">
        <v>67</v>
      </c>
      <c r="N7" s="31" t="s">
        <v>68</v>
      </c>
      <c r="O7" s="31" t="s">
        <v>69</v>
      </c>
      <c r="P7" s="31" t="s">
        <v>1</v>
      </c>
      <c r="R7" s="31" t="s">
        <v>71</v>
      </c>
      <c r="S7" s="31" t="s">
        <v>72</v>
      </c>
      <c r="T7" s="31" t="s">
        <v>73</v>
      </c>
      <c r="U7" s="31" t="s">
        <v>74</v>
      </c>
      <c r="V7" s="31" t="s">
        <v>1</v>
      </c>
      <c r="X7" s="31" t="s">
        <v>81</v>
      </c>
      <c r="Y7" s="31" t="s">
        <v>82</v>
      </c>
      <c r="Z7" s="31" t="s">
        <v>83</v>
      </c>
      <c r="AA7" s="31" t="s">
        <v>84</v>
      </c>
      <c r="AB7" s="31" t="s">
        <v>1</v>
      </c>
      <c r="AD7" s="31" t="s">
        <v>98</v>
      </c>
      <c r="AE7" s="31" t="s">
        <v>100</v>
      </c>
      <c r="AF7" s="31" t="s">
        <v>99</v>
      </c>
      <c r="AG7" s="31" t="s">
        <v>101</v>
      </c>
      <c r="AH7" s="31" t="s">
        <v>1</v>
      </c>
    </row>
    <row r="8" spans="1:34" s="11" customFormat="1" x14ac:dyDescent="0.2">
      <c r="B8" s="35" t="s">
        <v>7</v>
      </c>
      <c r="C8" s="15"/>
      <c r="D8"/>
      <c r="E8" s="48"/>
      <c r="AD8"/>
      <c r="AE8"/>
      <c r="AF8"/>
      <c r="AG8"/>
      <c r="AH8"/>
    </row>
    <row r="9" spans="1:34" s="11" customFormat="1" x14ac:dyDescent="0.2">
      <c r="B9" s="5" t="s">
        <v>10</v>
      </c>
      <c r="C9" s="15"/>
      <c r="D9" s="20"/>
      <c r="E9" s="65"/>
      <c r="F9" s="16">
        <v>38</v>
      </c>
      <c r="G9" s="65">
        <v>39</v>
      </c>
      <c r="H9" s="65">
        <v>40</v>
      </c>
      <c r="I9" s="65">
        <v>40</v>
      </c>
      <c r="J9" s="65">
        <v>39</v>
      </c>
      <c r="L9" s="16">
        <v>38</v>
      </c>
      <c r="M9" s="65">
        <v>38</v>
      </c>
      <c r="N9" s="65">
        <v>36</v>
      </c>
      <c r="O9" s="65">
        <v>36</v>
      </c>
      <c r="P9" s="65">
        <v>37</v>
      </c>
      <c r="R9" s="16">
        <v>35</v>
      </c>
      <c r="S9" s="65">
        <v>34</v>
      </c>
      <c r="T9" s="65">
        <v>33</v>
      </c>
      <c r="U9" s="65">
        <v>32</v>
      </c>
      <c r="V9" s="65">
        <v>33</v>
      </c>
      <c r="X9" s="16">
        <v>30</v>
      </c>
      <c r="Y9" s="65">
        <v>30</v>
      </c>
      <c r="Z9" s="65">
        <v>90</v>
      </c>
      <c r="AA9" s="65">
        <v>86</v>
      </c>
      <c r="AB9" s="65">
        <v>58</v>
      </c>
      <c r="AD9" s="100">
        <v>84</v>
      </c>
      <c r="AE9" s="100">
        <v>83</v>
      </c>
      <c r="AF9" s="100">
        <v>0</v>
      </c>
      <c r="AG9" s="100">
        <v>0</v>
      </c>
      <c r="AH9" s="100">
        <v>84</v>
      </c>
    </row>
    <row r="10" spans="1:34" s="11" customFormat="1" x14ac:dyDescent="0.2">
      <c r="B10" s="5" t="s">
        <v>11</v>
      </c>
      <c r="C10" s="15"/>
      <c r="D10" s="20"/>
      <c r="E10" s="48"/>
      <c r="F10" s="16">
        <v>20</v>
      </c>
      <c r="G10" s="65">
        <v>19</v>
      </c>
      <c r="H10" s="65">
        <v>19</v>
      </c>
      <c r="I10" s="65">
        <v>18</v>
      </c>
      <c r="J10" s="65">
        <v>19</v>
      </c>
      <c r="L10" s="16">
        <v>18</v>
      </c>
      <c r="M10" s="65">
        <v>16</v>
      </c>
      <c r="N10" s="65">
        <v>19</v>
      </c>
      <c r="O10" s="65">
        <v>19</v>
      </c>
      <c r="P10" s="65">
        <v>18</v>
      </c>
      <c r="R10" s="16">
        <v>20</v>
      </c>
      <c r="S10" s="65">
        <v>19</v>
      </c>
      <c r="T10" s="65">
        <v>18</v>
      </c>
      <c r="U10" s="65">
        <v>18</v>
      </c>
      <c r="V10" s="65">
        <v>19</v>
      </c>
      <c r="X10" s="16">
        <v>18</v>
      </c>
      <c r="Y10" s="65">
        <v>17</v>
      </c>
      <c r="Z10" s="65">
        <v>17</v>
      </c>
      <c r="AA10" s="65">
        <v>17</v>
      </c>
      <c r="AB10" s="65">
        <v>17</v>
      </c>
      <c r="AD10" s="100">
        <v>18</v>
      </c>
      <c r="AE10" s="100">
        <v>17</v>
      </c>
      <c r="AF10" s="100">
        <v>0</v>
      </c>
      <c r="AG10" s="100">
        <v>0</v>
      </c>
      <c r="AH10" s="100">
        <v>17</v>
      </c>
    </row>
    <row r="11" spans="1:34" s="11" customFormat="1" hidden="1" x14ac:dyDescent="0.2">
      <c r="B11" s="5" t="s">
        <v>12</v>
      </c>
      <c r="C11" s="15"/>
      <c r="D11" s="20"/>
      <c r="E11" s="48"/>
      <c r="F11" s="16">
        <v>2</v>
      </c>
      <c r="G11" s="65">
        <v>3</v>
      </c>
      <c r="H11" s="65">
        <v>3</v>
      </c>
      <c r="I11" s="65">
        <v>1</v>
      </c>
      <c r="J11" s="65">
        <v>2</v>
      </c>
      <c r="L11" s="16">
        <v>0</v>
      </c>
      <c r="M11" s="65">
        <v>0</v>
      </c>
      <c r="N11" s="65">
        <v>0</v>
      </c>
      <c r="O11" s="65">
        <v>0</v>
      </c>
      <c r="P11" s="65">
        <v>0</v>
      </c>
      <c r="R11" s="16">
        <v>0</v>
      </c>
      <c r="S11" s="65">
        <v>0</v>
      </c>
      <c r="T11" s="65">
        <v>0</v>
      </c>
      <c r="U11" s="65">
        <v>0</v>
      </c>
      <c r="V11" s="65">
        <v>0</v>
      </c>
      <c r="X11" s="16">
        <v>0</v>
      </c>
      <c r="Y11" s="65">
        <v>0</v>
      </c>
      <c r="Z11" s="65">
        <v>0</v>
      </c>
      <c r="AA11" s="65">
        <v>0</v>
      </c>
      <c r="AB11" s="65">
        <v>0</v>
      </c>
      <c r="AD11" s="100"/>
      <c r="AE11" s="100">
        <v>0</v>
      </c>
      <c r="AF11" s="100">
        <v>0</v>
      </c>
      <c r="AG11" s="100">
        <v>0</v>
      </c>
      <c r="AH11" s="100">
        <v>0</v>
      </c>
    </row>
    <row r="12" spans="1:34" s="11" customFormat="1" x14ac:dyDescent="0.2">
      <c r="B12" s="5" t="s">
        <v>94</v>
      </c>
      <c r="C12" s="15"/>
      <c r="D12" s="20"/>
      <c r="E12" s="48"/>
      <c r="F12" s="16"/>
      <c r="G12" s="65"/>
      <c r="H12" s="65"/>
      <c r="I12" s="65"/>
      <c r="J12" s="65"/>
      <c r="L12" s="16"/>
      <c r="M12" s="65"/>
      <c r="N12" s="65"/>
      <c r="O12" s="65"/>
      <c r="P12" s="65"/>
      <c r="R12" s="16">
        <v>0</v>
      </c>
      <c r="S12" s="65">
        <v>0</v>
      </c>
      <c r="T12" s="65">
        <v>0</v>
      </c>
      <c r="U12" s="65">
        <v>0</v>
      </c>
      <c r="V12" s="65">
        <v>0</v>
      </c>
      <c r="X12" s="16">
        <v>0</v>
      </c>
      <c r="Y12" s="65">
        <v>0</v>
      </c>
      <c r="Z12" s="65">
        <v>6</v>
      </c>
      <c r="AA12" s="65">
        <f>6+3</f>
        <v>9</v>
      </c>
      <c r="AB12" s="65">
        <f>3+2</f>
        <v>5</v>
      </c>
      <c r="AD12" s="100">
        <v>9</v>
      </c>
      <c r="AE12" s="100">
        <v>9</v>
      </c>
      <c r="AF12" s="100">
        <v>0</v>
      </c>
      <c r="AG12" s="100">
        <v>0</v>
      </c>
      <c r="AH12" s="100">
        <v>9</v>
      </c>
    </row>
    <row r="13" spans="1:34" s="11" customFormat="1" x14ac:dyDescent="0.2">
      <c r="B13" s="5" t="s">
        <v>14</v>
      </c>
      <c r="C13" s="15"/>
      <c r="D13" s="20"/>
      <c r="E13" s="48"/>
      <c r="F13" s="17">
        <f>SUM(F9:F11)</f>
        <v>60</v>
      </c>
      <c r="G13" s="17">
        <f>SUM(G9:G11)</f>
        <v>61</v>
      </c>
      <c r="H13" s="69">
        <f>SUM(H9:H11)</f>
        <v>62</v>
      </c>
      <c r="I13" s="69">
        <f>SUM(I9:I11)</f>
        <v>59</v>
      </c>
      <c r="J13" s="69">
        <f>SUM(J9:J11)</f>
        <v>60</v>
      </c>
      <c r="L13" s="17">
        <f>SUM(L9:L11)</f>
        <v>56</v>
      </c>
      <c r="M13" s="17">
        <f>SUM(M9:M11)</f>
        <v>54</v>
      </c>
      <c r="N13" s="69">
        <f>SUM(N9:N11)</f>
        <v>55</v>
      </c>
      <c r="O13" s="69">
        <f>SUM(O9:O11)</f>
        <v>55</v>
      </c>
      <c r="P13" s="69">
        <f>SUM(P9:P11)</f>
        <v>55</v>
      </c>
      <c r="R13" s="17">
        <f>SUM(R9:R12)</f>
        <v>55</v>
      </c>
      <c r="S13" s="17">
        <f>SUM(S9:S12)</f>
        <v>53</v>
      </c>
      <c r="T13" s="69">
        <f>SUM(T9:T12)</f>
        <v>51</v>
      </c>
      <c r="U13" s="69">
        <f>SUM(U9:U12)</f>
        <v>50</v>
      </c>
      <c r="V13" s="69">
        <f>SUM(V9:V12)</f>
        <v>52</v>
      </c>
      <c r="X13" s="17">
        <f>SUM(X9:X12)</f>
        <v>48</v>
      </c>
      <c r="Y13" s="17">
        <f>SUM(Y9:Y12)</f>
        <v>47</v>
      </c>
      <c r="Z13" s="69">
        <f>SUM(Z9:Z12)</f>
        <v>113</v>
      </c>
      <c r="AA13" s="69">
        <f>SUM(AA9:AA12)</f>
        <v>112</v>
      </c>
      <c r="AB13" s="69">
        <f>SUM(AB9:AB12)</f>
        <v>80</v>
      </c>
      <c r="AD13" s="19">
        <f>SUM(AD9:AD12)</f>
        <v>111</v>
      </c>
      <c r="AE13" s="19">
        <f>SUM(AE9:AE12)</f>
        <v>109</v>
      </c>
      <c r="AF13" s="19">
        <f>SUM(AF9:AF12)</f>
        <v>0</v>
      </c>
      <c r="AG13" s="19">
        <f>SUM(AG9:AG12)</f>
        <v>0</v>
      </c>
      <c r="AH13" s="19">
        <f>SUM(AH9:AH12)</f>
        <v>110</v>
      </c>
    </row>
    <row r="14" spans="1:34" s="11" customFormat="1" x14ac:dyDescent="0.2">
      <c r="B14" s="18"/>
      <c r="C14" s="7"/>
      <c r="D14" s="20"/>
      <c r="E14" s="48"/>
      <c r="F14" s="30"/>
      <c r="G14" s="30"/>
      <c r="H14" s="70"/>
      <c r="I14" s="70"/>
      <c r="J14" s="70"/>
      <c r="L14" s="30"/>
      <c r="M14" s="30"/>
      <c r="N14" s="70"/>
      <c r="O14" s="70"/>
      <c r="P14" s="70"/>
      <c r="R14" s="30"/>
      <c r="S14" s="30"/>
      <c r="T14" s="70"/>
      <c r="U14" s="70"/>
      <c r="V14" s="70"/>
      <c r="X14" s="30"/>
      <c r="Y14" s="30"/>
      <c r="Z14" s="70"/>
      <c r="AA14" s="70"/>
      <c r="AB14" s="70"/>
      <c r="AD14" s="20"/>
      <c r="AE14" s="20"/>
      <c r="AF14" s="20"/>
      <c r="AG14" s="20"/>
      <c r="AH14" s="20"/>
    </row>
    <row r="15" spans="1:34" s="11" customFormat="1" x14ac:dyDescent="0.2">
      <c r="B15" s="35" t="s">
        <v>8</v>
      </c>
      <c r="C15" s="15"/>
      <c r="D15" s="20"/>
      <c r="E15" s="48"/>
      <c r="F15" s="30"/>
      <c r="G15" s="30"/>
      <c r="H15" s="70"/>
      <c r="I15" s="70"/>
      <c r="J15" s="70"/>
      <c r="L15" s="30"/>
      <c r="M15" s="30"/>
      <c r="N15" s="70"/>
      <c r="O15" s="70"/>
      <c r="P15" s="70"/>
      <c r="R15" s="30"/>
      <c r="S15" s="30"/>
      <c r="T15" s="70"/>
      <c r="U15" s="70"/>
      <c r="V15" s="70"/>
      <c r="X15" s="30"/>
      <c r="Y15" s="30"/>
      <c r="Z15" s="70"/>
      <c r="AA15" s="70"/>
      <c r="AB15" s="70"/>
      <c r="AD15" s="20"/>
      <c r="AE15" s="20"/>
      <c r="AF15" s="20"/>
      <c r="AG15" s="20"/>
      <c r="AH15" s="20"/>
    </row>
    <row r="16" spans="1:34" s="11" customFormat="1" x14ac:dyDescent="0.2">
      <c r="B16" s="5" t="s">
        <v>10</v>
      </c>
      <c r="C16" s="15"/>
      <c r="D16" s="20"/>
      <c r="E16" s="48"/>
      <c r="F16" s="16">
        <v>12</v>
      </c>
      <c r="G16" s="16">
        <v>13</v>
      </c>
      <c r="H16" s="65">
        <v>13</v>
      </c>
      <c r="I16" s="65">
        <v>12</v>
      </c>
      <c r="J16" s="65">
        <v>13</v>
      </c>
      <c r="L16" s="16">
        <v>9</v>
      </c>
      <c r="M16" s="16">
        <v>12</v>
      </c>
      <c r="N16" s="65">
        <v>12</v>
      </c>
      <c r="O16" s="65">
        <v>11</v>
      </c>
      <c r="P16" s="65">
        <v>11</v>
      </c>
      <c r="R16" s="16">
        <v>11</v>
      </c>
      <c r="S16" s="16">
        <v>11</v>
      </c>
      <c r="T16" s="65">
        <v>11</v>
      </c>
      <c r="U16" s="65">
        <v>11</v>
      </c>
      <c r="V16" s="65">
        <v>11</v>
      </c>
      <c r="X16" s="16">
        <v>11</v>
      </c>
      <c r="Y16" s="16">
        <v>10</v>
      </c>
      <c r="Z16" s="65">
        <v>11</v>
      </c>
      <c r="AA16" s="65">
        <v>10</v>
      </c>
      <c r="AB16" s="65">
        <v>10</v>
      </c>
      <c r="AD16" s="100">
        <v>10</v>
      </c>
      <c r="AE16" s="100">
        <v>10</v>
      </c>
      <c r="AF16" s="100">
        <v>0</v>
      </c>
      <c r="AG16" s="100">
        <v>0</v>
      </c>
      <c r="AH16" s="100">
        <v>10</v>
      </c>
    </row>
    <row r="17" spans="2:34" s="11" customFormat="1" x14ac:dyDescent="0.2">
      <c r="B17" s="5" t="s">
        <v>12</v>
      </c>
      <c r="C17" s="15"/>
      <c r="D17" s="20"/>
      <c r="E17" s="48"/>
      <c r="F17" s="16">
        <v>0</v>
      </c>
      <c r="G17" s="16">
        <v>0</v>
      </c>
      <c r="H17" s="65">
        <v>0</v>
      </c>
      <c r="I17" s="65">
        <v>0</v>
      </c>
      <c r="J17" s="65">
        <v>0</v>
      </c>
      <c r="L17" s="16">
        <v>0</v>
      </c>
      <c r="M17" s="16">
        <v>0</v>
      </c>
      <c r="N17" s="65">
        <v>0</v>
      </c>
      <c r="O17" s="65">
        <v>0</v>
      </c>
      <c r="P17" s="65">
        <v>0</v>
      </c>
      <c r="R17" s="16">
        <v>0</v>
      </c>
      <c r="S17" s="16">
        <v>0</v>
      </c>
      <c r="T17" s="65">
        <v>0</v>
      </c>
      <c r="U17" s="65">
        <v>0</v>
      </c>
      <c r="V17" s="65">
        <v>0</v>
      </c>
      <c r="X17" s="16">
        <v>0</v>
      </c>
      <c r="Y17" s="16">
        <v>0</v>
      </c>
      <c r="Z17" s="65">
        <v>0</v>
      </c>
      <c r="AA17" s="65">
        <v>0</v>
      </c>
      <c r="AB17" s="65">
        <v>0</v>
      </c>
      <c r="AD17" s="100">
        <v>0</v>
      </c>
      <c r="AE17" s="100">
        <v>0</v>
      </c>
      <c r="AF17" s="100">
        <v>0</v>
      </c>
      <c r="AG17" s="100">
        <v>0</v>
      </c>
      <c r="AH17" s="100">
        <v>0</v>
      </c>
    </row>
    <row r="18" spans="2:34" s="11" customFormat="1" x14ac:dyDescent="0.2">
      <c r="B18" s="5" t="s">
        <v>14</v>
      </c>
      <c r="C18" s="15"/>
      <c r="D18" s="20"/>
      <c r="E18" s="48"/>
      <c r="F18" s="19">
        <f>SUM(F16:F17)</f>
        <v>12</v>
      </c>
      <c r="G18" s="19">
        <f>SUM(G16:G17)</f>
        <v>13</v>
      </c>
      <c r="H18" s="71">
        <f>SUM(H16:H17)</f>
        <v>13</v>
      </c>
      <c r="I18" s="71">
        <f>SUM(I16:I17)</f>
        <v>12</v>
      </c>
      <c r="J18" s="71">
        <f>SUM(J16:J17)</f>
        <v>13</v>
      </c>
      <c r="L18" s="19">
        <f>SUM(L16:L17)</f>
        <v>9</v>
      </c>
      <c r="M18" s="19">
        <f>SUM(M16:M17)</f>
        <v>12</v>
      </c>
      <c r="N18" s="71">
        <f>SUM(N16:N17)</f>
        <v>12</v>
      </c>
      <c r="O18" s="71">
        <f>SUM(O16:O17)</f>
        <v>11</v>
      </c>
      <c r="P18" s="71">
        <f>SUM(P16:P17)</f>
        <v>11</v>
      </c>
      <c r="R18" s="19">
        <f>SUM(R16:R17)</f>
        <v>11</v>
      </c>
      <c r="S18" s="19">
        <f>SUM(S16:S17)</f>
        <v>11</v>
      </c>
      <c r="T18" s="71">
        <f>SUM(T16:T17)</f>
        <v>11</v>
      </c>
      <c r="U18" s="71">
        <f>SUM(U16:U17)</f>
        <v>11</v>
      </c>
      <c r="V18" s="71">
        <f>SUM(V16:V17)</f>
        <v>11</v>
      </c>
      <c r="X18" s="19">
        <f>SUM(X16:X17)</f>
        <v>11</v>
      </c>
      <c r="Y18" s="19">
        <f>SUM(Y16:Y17)</f>
        <v>10</v>
      </c>
      <c r="Z18" s="71">
        <f>SUM(Z16:Z17)</f>
        <v>11</v>
      </c>
      <c r="AA18" s="71">
        <f>SUM(AA16:AA17)</f>
        <v>10</v>
      </c>
      <c r="AB18" s="71">
        <f>SUM(AB16:AB17)</f>
        <v>10</v>
      </c>
      <c r="AD18" s="19">
        <f>SUM(AD16:AD17)</f>
        <v>10</v>
      </c>
      <c r="AE18" s="19">
        <f>SUM(AE16:AE17)</f>
        <v>10</v>
      </c>
      <c r="AF18" s="19">
        <f>SUM(AF16:AF17)</f>
        <v>0</v>
      </c>
      <c r="AG18" s="19">
        <f>SUM(AG16:AG17)</f>
        <v>0</v>
      </c>
      <c r="AH18" s="19">
        <f>SUM(AH16:AH17)</f>
        <v>10</v>
      </c>
    </row>
    <row r="19" spans="2:34" s="11" customFormat="1" x14ac:dyDescent="0.2">
      <c r="B19" s="18"/>
      <c r="C19" s="7"/>
      <c r="D19" s="20"/>
      <c r="E19" s="48"/>
      <c r="F19" s="30"/>
      <c r="G19" s="30"/>
      <c r="H19" s="70"/>
      <c r="I19" s="70"/>
      <c r="J19" s="70"/>
      <c r="L19" s="30"/>
      <c r="M19" s="30"/>
      <c r="N19" s="70"/>
      <c r="O19" s="70"/>
      <c r="P19" s="70"/>
      <c r="R19" s="30"/>
      <c r="S19" s="30"/>
      <c r="T19" s="70"/>
      <c r="U19" s="70"/>
      <c r="V19" s="70"/>
      <c r="X19" s="30"/>
      <c r="Y19" s="30"/>
      <c r="Z19" s="70"/>
      <c r="AA19" s="70"/>
      <c r="AB19" s="70"/>
      <c r="AD19" s="20"/>
      <c r="AE19" s="20"/>
      <c r="AF19" s="20"/>
      <c r="AG19" s="20"/>
      <c r="AH19" s="20"/>
    </row>
    <row r="20" spans="2:34" s="11" customFormat="1" x14ac:dyDescent="0.2">
      <c r="B20" s="36" t="s">
        <v>9</v>
      </c>
      <c r="C20"/>
      <c r="D20" s="20"/>
      <c r="E20" s="48"/>
      <c r="F20" s="30"/>
      <c r="G20" s="30"/>
      <c r="H20" s="70"/>
      <c r="I20" s="70"/>
      <c r="J20" s="70"/>
      <c r="L20" s="30"/>
      <c r="M20" s="30"/>
      <c r="N20" s="70"/>
      <c r="O20" s="70"/>
      <c r="P20" s="70"/>
      <c r="R20" s="30"/>
      <c r="S20" s="30"/>
      <c r="T20" s="70"/>
      <c r="U20" s="70"/>
      <c r="V20" s="70"/>
      <c r="X20" s="30"/>
      <c r="Y20" s="30"/>
      <c r="Z20" s="70"/>
      <c r="AA20" s="70"/>
      <c r="AB20" s="70"/>
      <c r="AD20" s="20"/>
      <c r="AE20" s="20"/>
      <c r="AF20" s="20"/>
      <c r="AG20" s="20"/>
      <c r="AH20" s="20"/>
    </row>
    <row r="21" spans="2:34" s="11" customFormat="1" x14ac:dyDescent="0.2">
      <c r="B21" s="5" t="s">
        <v>10</v>
      </c>
      <c r="C21" s="20"/>
      <c r="D21" s="20"/>
      <c r="E21" s="48"/>
      <c r="F21" s="16">
        <v>135</v>
      </c>
      <c r="G21" s="16">
        <v>135</v>
      </c>
      <c r="H21" s="65">
        <v>135</v>
      </c>
      <c r="I21" s="65">
        <v>131</v>
      </c>
      <c r="J21" s="65">
        <v>135</v>
      </c>
      <c r="L21" s="16">
        <v>121</v>
      </c>
      <c r="M21" s="16">
        <v>132</v>
      </c>
      <c r="N21" s="65">
        <v>131</v>
      </c>
      <c r="O21" s="65">
        <v>129</v>
      </c>
      <c r="P21" s="65">
        <v>129</v>
      </c>
      <c r="R21" s="16">
        <v>119</v>
      </c>
      <c r="S21" s="16">
        <v>119</v>
      </c>
      <c r="T21" s="65">
        <v>122</v>
      </c>
      <c r="U21" s="65">
        <v>114</v>
      </c>
      <c r="V21" s="65">
        <v>119</v>
      </c>
      <c r="X21" s="16">
        <v>90</v>
      </c>
      <c r="Y21" s="16">
        <v>99</v>
      </c>
      <c r="Z21" s="65">
        <v>111</v>
      </c>
      <c r="AA21" s="65">
        <v>98</v>
      </c>
      <c r="AB21" s="65">
        <v>99</v>
      </c>
      <c r="AD21" s="100">
        <v>101</v>
      </c>
      <c r="AE21" s="100">
        <v>96</v>
      </c>
      <c r="AF21" s="100">
        <v>0</v>
      </c>
      <c r="AG21" s="100">
        <v>0</v>
      </c>
      <c r="AH21" s="100">
        <v>99</v>
      </c>
    </row>
    <row r="22" spans="2:34" s="11" customFormat="1" x14ac:dyDescent="0.2">
      <c r="B22" s="5" t="s">
        <v>11</v>
      </c>
      <c r="C22"/>
      <c r="D22" s="20"/>
      <c r="E22" s="48"/>
      <c r="F22" s="16">
        <v>1</v>
      </c>
      <c r="G22" s="16">
        <v>1</v>
      </c>
      <c r="H22" s="65">
        <v>1</v>
      </c>
      <c r="I22" s="65">
        <v>1</v>
      </c>
      <c r="J22" s="65">
        <v>1</v>
      </c>
      <c r="L22" s="16">
        <v>1</v>
      </c>
      <c r="M22" s="16">
        <v>1</v>
      </c>
      <c r="N22" s="65">
        <v>1</v>
      </c>
      <c r="O22" s="65">
        <v>1</v>
      </c>
      <c r="P22" s="65">
        <v>1</v>
      </c>
      <c r="R22" s="16">
        <v>1</v>
      </c>
      <c r="S22" s="16">
        <v>1</v>
      </c>
      <c r="T22" s="65">
        <v>1</v>
      </c>
      <c r="U22" s="65">
        <v>1</v>
      </c>
      <c r="V22" s="65">
        <v>1</v>
      </c>
      <c r="X22" s="16">
        <v>1</v>
      </c>
      <c r="Y22" s="16">
        <v>1</v>
      </c>
      <c r="Z22" s="65">
        <v>1</v>
      </c>
      <c r="AA22" s="65">
        <v>1</v>
      </c>
      <c r="AB22" s="65">
        <v>1</v>
      </c>
      <c r="AD22" s="100">
        <v>1</v>
      </c>
      <c r="AE22" s="100">
        <v>1</v>
      </c>
      <c r="AF22" s="100">
        <v>0</v>
      </c>
      <c r="AG22" s="100">
        <v>0</v>
      </c>
      <c r="AH22" s="100">
        <v>1</v>
      </c>
    </row>
    <row r="23" spans="2:34" s="11" customFormat="1" x14ac:dyDescent="0.2">
      <c r="B23" s="5" t="s">
        <v>13</v>
      </c>
      <c r="C23"/>
      <c r="D23" s="20"/>
      <c r="E23" s="48"/>
      <c r="F23" s="16"/>
      <c r="G23" s="16"/>
      <c r="H23" s="65"/>
      <c r="I23" s="65"/>
      <c r="J23" s="65"/>
      <c r="L23" s="16"/>
      <c r="M23" s="16"/>
      <c r="N23" s="65"/>
      <c r="O23" s="65"/>
      <c r="P23" s="65"/>
      <c r="R23" s="16">
        <v>16</v>
      </c>
      <c r="S23" s="16">
        <v>15</v>
      </c>
      <c r="T23" s="65">
        <v>15</v>
      </c>
      <c r="U23" s="65">
        <v>15</v>
      </c>
      <c r="V23" s="65">
        <v>15</v>
      </c>
      <c r="X23" s="16">
        <v>14</v>
      </c>
      <c r="Y23" s="16">
        <v>14</v>
      </c>
      <c r="Z23" s="65">
        <v>13</v>
      </c>
      <c r="AA23" s="65">
        <v>13</v>
      </c>
      <c r="AB23" s="65">
        <v>13</v>
      </c>
      <c r="AD23" s="100">
        <v>12</v>
      </c>
      <c r="AE23" s="100">
        <v>12</v>
      </c>
      <c r="AF23" s="100">
        <v>0</v>
      </c>
      <c r="AG23" s="100">
        <v>0</v>
      </c>
      <c r="AH23" s="100">
        <v>12</v>
      </c>
    </row>
    <row r="24" spans="2:34" s="11" customFormat="1" x14ac:dyDescent="0.2">
      <c r="B24" s="5" t="s">
        <v>94</v>
      </c>
      <c r="C24"/>
      <c r="D24" s="20"/>
      <c r="E24" s="48"/>
      <c r="F24" s="16">
        <v>20</v>
      </c>
      <c r="G24" s="16">
        <v>20</v>
      </c>
      <c r="H24" s="65">
        <v>19</v>
      </c>
      <c r="I24" s="65">
        <v>19</v>
      </c>
      <c r="J24" s="65">
        <v>19</v>
      </c>
      <c r="L24" s="16">
        <v>19</v>
      </c>
      <c r="M24" s="16">
        <v>18</v>
      </c>
      <c r="N24" s="65">
        <v>17</v>
      </c>
      <c r="O24" s="65">
        <v>17</v>
      </c>
      <c r="P24" s="65">
        <v>17</v>
      </c>
      <c r="R24" s="16">
        <v>0</v>
      </c>
      <c r="S24" s="16">
        <v>0</v>
      </c>
      <c r="T24" s="65">
        <v>0</v>
      </c>
      <c r="U24" s="65">
        <v>0</v>
      </c>
      <c r="V24" s="65">
        <v>0</v>
      </c>
      <c r="X24" s="16">
        <v>0</v>
      </c>
      <c r="Y24" s="16">
        <v>0</v>
      </c>
      <c r="Z24" s="65">
        <v>1</v>
      </c>
      <c r="AA24" s="65">
        <v>3</v>
      </c>
      <c r="AB24" s="65">
        <v>4</v>
      </c>
      <c r="AD24" s="100">
        <v>3</v>
      </c>
      <c r="AE24" s="100">
        <v>2</v>
      </c>
      <c r="AF24" s="100">
        <v>0</v>
      </c>
      <c r="AG24" s="100">
        <v>0</v>
      </c>
      <c r="AH24" s="100">
        <v>2</v>
      </c>
    </row>
    <row r="25" spans="2:34" s="11" customFormat="1" x14ac:dyDescent="0.2">
      <c r="B25" s="5" t="s">
        <v>14</v>
      </c>
      <c r="C25"/>
      <c r="D25" s="20"/>
      <c r="E25" s="74"/>
      <c r="F25" s="19">
        <f>SUM(F21:F24)</f>
        <v>156</v>
      </c>
      <c r="G25" s="19">
        <f>SUM(G21:G24)</f>
        <v>156</v>
      </c>
      <c r="H25" s="71">
        <f>SUM(H21:H24)</f>
        <v>155</v>
      </c>
      <c r="I25" s="71">
        <f>SUM(I21:I24)</f>
        <v>151</v>
      </c>
      <c r="J25" s="71">
        <f>SUM(J21:J24)</f>
        <v>155</v>
      </c>
      <c r="L25" s="19">
        <f>SUM(L21:L24)</f>
        <v>141</v>
      </c>
      <c r="M25" s="19">
        <f>SUM(M21:M24)</f>
        <v>151</v>
      </c>
      <c r="N25" s="71">
        <f>SUM(N21:N24)</f>
        <v>149</v>
      </c>
      <c r="O25" s="71">
        <f>SUM(O21:O24)</f>
        <v>147</v>
      </c>
      <c r="P25" s="71">
        <f>SUM(P21:P24)</f>
        <v>147</v>
      </c>
      <c r="R25" s="19">
        <f>SUM(R21:R24)</f>
        <v>136</v>
      </c>
      <c r="S25" s="19">
        <f>SUM(S21:S24)</f>
        <v>135</v>
      </c>
      <c r="T25" s="71">
        <f>SUM(T21:T24)</f>
        <v>138</v>
      </c>
      <c r="U25" s="71">
        <f>SUM(U21:U24)</f>
        <v>130</v>
      </c>
      <c r="V25" s="71">
        <f>SUM(V21:V24)</f>
        <v>135</v>
      </c>
      <c r="X25" s="19">
        <f>SUM(X21:X24)</f>
        <v>105</v>
      </c>
      <c r="Y25" s="19">
        <f>SUM(Y21:Y24)</f>
        <v>114</v>
      </c>
      <c r="Z25" s="71">
        <f>SUM(Z21:Z24)</f>
        <v>126</v>
      </c>
      <c r="AA25" s="71">
        <f>SUM(AA21:AA24)</f>
        <v>115</v>
      </c>
      <c r="AB25" s="71">
        <f>SUM(AB21:AB24)</f>
        <v>117</v>
      </c>
      <c r="AD25" s="19">
        <f>SUM(AD21:AD24)</f>
        <v>117</v>
      </c>
      <c r="AE25" s="19">
        <f>SUM(AE21:AE24)</f>
        <v>111</v>
      </c>
      <c r="AF25" s="19">
        <f>SUM(AF21:AF24)</f>
        <v>0</v>
      </c>
      <c r="AG25" s="19">
        <f>SUM(AG21:AG24)</f>
        <v>0</v>
      </c>
      <c r="AH25" s="19">
        <f>SUM(AH21:AH24)</f>
        <v>114</v>
      </c>
    </row>
    <row r="26" spans="2:34" s="11" customFormat="1" x14ac:dyDescent="0.2">
      <c r="B26"/>
      <c r="C26"/>
      <c r="D26" s="20"/>
      <c r="E26" s="48"/>
      <c r="F26" s="30"/>
      <c r="G26" s="30"/>
      <c r="H26" s="70"/>
      <c r="I26" s="70"/>
      <c r="J26" s="70"/>
      <c r="L26" s="30"/>
      <c r="M26" s="30"/>
      <c r="N26" s="70"/>
      <c r="O26" s="70"/>
      <c r="P26" s="70"/>
      <c r="R26" s="30"/>
      <c r="S26" s="30"/>
      <c r="T26" s="70"/>
      <c r="U26" s="70"/>
      <c r="V26" s="70"/>
      <c r="X26" s="30"/>
      <c r="Y26" s="30"/>
      <c r="Z26" s="70"/>
      <c r="AA26" s="70"/>
      <c r="AB26" s="70"/>
      <c r="AD26" s="20"/>
      <c r="AE26" s="20"/>
      <c r="AF26" s="20"/>
      <c r="AG26" s="20"/>
      <c r="AH26" s="20"/>
    </row>
    <row r="27" spans="2:34" s="11" customFormat="1" ht="15" thickBot="1" x14ac:dyDescent="0.25">
      <c r="B27" s="21" t="s">
        <v>27</v>
      </c>
      <c r="C27"/>
      <c r="D27" s="20"/>
      <c r="E27" s="70"/>
      <c r="F27" s="56">
        <f>F13+F18+(F25/6)</f>
        <v>98</v>
      </c>
      <c r="G27" s="56">
        <f>G13+G18+(G25/6)</f>
        <v>100</v>
      </c>
      <c r="H27" s="72">
        <f>H13+H18+(H25/6)</f>
        <v>100.83333333333333</v>
      </c>
      <c r="I27" s="72">
        <f>I13+I18+(I25/6)</f>
        <v>96.166666666666671</v>
      </c>
      <c r="J27" s="72">
        <f>J13+J18+(J25/6)</f>
        <v>98.833333333333329</v>
      </c>
      <c r="L27" s="56">
        <f>L13+L18+(L25/6)-1</f>
        <v>87.5</v>
      </c>
      <c r="M27" s="56">
        <v>91</v>
      </c>
      <c r="N27" s="72">
        <f>N13+N18+(N25/6)</f>
        <v>91.833333333333329</v>
      </c>
      <c r="O27" s="72">
        <f>O13+O18+(O25/6)</f>
        <v>90.5</v>
      </c>
      <c r="P27" s="72">
        <f>P13+P18+(P25/6)</f>
        <v>90.5</v>
      </c>
      <c r="R27" s="56">
        <f>R13+R18+(R25/6)</f>
        <v>88.666666666666671</v>
      </c>
      <c r="S27" s="56">
        <f>S13+S18+(S25/6)-1</f>
        <v>85.5</v>
      </c>
      <c r="T27" s="72">
        <f>T13+T18+(T25/6)</f>
        <v>85</v>
      </c>
      <c r="U27" s="72">
        <f>U13+U18+(U25/6)</f>
        <v>82.666666666666671</v>
      </c>
      <c r="V27" s="72">
        <f>V13+V18+(V25/6)</f>
        <v>85.5</v>
      </c>
      <c r="X27" s="56">
        <f>X13+X18+(X25/6)-1</f>
        <v>75.5</v>
      </c>
      <c r="Y27" s="56">
        <f>Y13+Y18+(Y25/6)</f>
        <v>76</v>
      </c>
      <c r="Z27" s="72">
        <f>Z13+Z18+(Z25/6)</f>
        <v>145</v>
      </c>
      <c r="AA27" s="72">
        <f>AA13+AA18+(AA25/6)</f>
        <v>141.16666666666666</v>
      </c>
      <c r="AB27" s="72">
        <f>AB13+AB18+(AB25/6)</f>
        <v>109.5</v>
      </c>
      <c r="AD27" s="56">
        <f>AD13+AD18+(AD25/6)</f>
        <v>140.5</v>
      </c>
      <c r="AE27" s="56">
        <v>137</v>
      </c>
      <c r="AF27" s="56">
        <f>AF13+AF18+(AF25/6)</f>
        <v>0</v>
      </c>
      <c r="AG27" s="56">
        <f>AG13+AG18+(AG25/6)</f>
        <v>0</v>
      </c>
      <c r="AH27" s="56">
        <f>AH13+AH18+(AH25/6)</f>
        <v>139</v>
      </c>
    </row>
    <row r="28" spans="2:34" s="11" customFormat="1" ht="13.5" thickTop="1" x14ac:dyDescent="0.2">
      <c r="B28" s="21"/>
      <c r="C28"/>
      <c r="D28" s="20"/>
      <c r="E28" s="48"/>
      <c r="AD28"/>
      <c r="AE28"/>
      <c r="AF28"/>
      <c r="AG28"/>
      <c r="AH28"/>
    </row>
    <row r="29" spans="2:34" x14ac:dyDescent="0.2">
      <c r="E29" s="34"/>
    </row>
    <row r="30" spans="2:34" x14ac:dyDescent="0.2">
      <c r="B30" s="73" t="s">
        <v>30</v>
      </c>
      <c r="E30" s="34"/>
    </row>
    <row r="31" spans="2:34" ht="4.1500000000000004" customHeight="1" x14ac:dyDescent="0.2">
      <c r="B31" s="73"/>
      <c r="E31" s="34"/>
    </row>
    <row r="32" spans="2:34" x14ac:dyDescent="0.2">
      <c r="B32" s="73" t="s">
        <v>28</v>
      </c>
      <c r="E32" s="34"/>
    </row>
    <row r="33" spans="2:5" x14ac:dyDescent="0.2">
      <c r="B33" s="73" t="s">
        <v>29</v>
      </c>
      <c r="E33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zoomScaleNormal="100" workbookViewId="0">
      <selection activeCell="D43" sqref="D43"/>
    </sheetView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1.5703125" customWidth="1"/>
    <col min="12" max="12" width="9.28515625" customWidth="1"/>
  </cols>
  <sheetData>
    <row r="2" spans="2:16" ht="18" x14ac:dyDescent="0.25">
      <c r="B2" s="22" t="s">
        <v>0</v>
      </c>
    </row>
    <row r="3" spans="2:16" ht="14.25" customHeight="1" x14ac:dyDescent="0.25">
      <c r="B3" s="22"/>
      <c r="N3" s="94"/>
      <c r="O3" s="95"/>
      <c r="P3" s="95"/>
    </row>
    <row r="5" spans="2:16" ht="16.5" thickBot="1" x14ac:dyDescent="0.3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"/>
    <row r="7" spans="2:16" s="28" customFormat="1" x14ac:dyDescent="0.2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92</v>
      </c>
      <c r="K7" s="38"/>
      <c r="L7" s="38"/>
    </row>
    <row r="8" spans="2:16" s="28" customFormat="1" x14ac:dyDescent="0.2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93</v>
      </c>
      <c r="K8" s="38"/>
      <c r="L8" s="31" t="s">
        <v>1</v>
      </c>
    </row>
    <row r="9" spans="2:16" s="28" customFormat="1" x14ac:dyDescent="0.2"/>
    <row r="10" spans="2:16" s="28" customFormat="1" x14ac:dyDescent="0.2">
      <c r="B10" s="99" t="s">
        <v>91</v>
      </c>
      <c r="C10" s="54"/>
    </row>
    <row r="11" spans="2:16" s="28" customFormat="1" x14ac:dyDescent="0.2">
      <c r="B11" s="10" t="s">
        <v>33</v>
      </c>
    </row>
    <row r="12" spans="2:16" s="28" customFormat="1" x14ac:dyDescent="0.2">
      <c r="B12" t="s">
        <v>16</v>
      </c>
      <c r="D12" s="39">
        <v>314</v>
      </c>
      <c r="E12" s="39"/>
      <c r="F12" s="39">
        <v>77</v>
      </c>
      <c r="G12" s="39"/>
      <c r="H12" s="39">
        <v>0</v>
      </c>
      <c r="I12" s="39"/>
      <c r="J12" s="16">
        <v>21</v>
      </c>
      <c r="K12" s="39"/>
      <c r="L12" s="39">
        <f>SUM(D12:K12)</f>
        <v>412</v>
      </c>
    </row>
    <row r="13" spans="2:16" s="28" customFormat="1" x14ac:dyDescent="0.2">
      <c r="B13" s="11" t="s">
        <v>17</v>
      </c>
      <c r="D13" s="39">
        <v>30</v>
      </c>
      <c r="E13" s="39"/>
      <c r="F13" s="39">
        <v>0</v>
      </c>
      <c r="G13" s="39"/>
      <c r="H13" s="39">
        <v>0</v>
      </c>
      <c r="I13" s="39"/>
      <c r="J13" s="16">
        <v>1</v>
      </c>
      <c r="K13" s="39"/>
      <c r="L13" s="39">
        <f>SUM(D13:K13)</f>
        <v>31</v>
      </c>
    </row>
    <row r="14" spans="2:16" s="28" customFormat="1" x14ac:dyDescent="0.2">
      <c r="B14" s="49" t="s">
        <v>15</v>
      </c>
      <c r="D14" s="50">
        <f>+D13+D12</f>
        <v>344</v>
      </c>
      <c r="E14" s="39"/>
      <c r="F14" s="50">
        <f>+F13+F12</f>
        <v>77</v>
      </c>
      <c r="G14" s="39"/>
      <c r="H14" s="50">
        <f>+H13+H12</f>
        <v>0</v>
      </c>
      <c r="I14" s="39"/>
      <c r="J14" s="50">
        <f>+J13+J12</f>
        <v>22</v>
      </c>
      <c r="K14" s="39"/>
      <c r="L14" s="50">
        <f>+L13+L12</f>
        <v>443</v>
      </c>
    </row>
    <row r="15" spans="2:16" s="28" customFormat="1" x14ac:dyDescent="0.2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">
      <c r="B16" s="10" t="s">
        <v>34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">
      <c r="B17" t="s">
        <v>16</v>
      </c>
      <c r="D17" s="39">
        <v>31</v>
      </c>
      <c r="E17" s="39"/>
      <c r="F17" s="39">
        <v>0</v>
      </c>
      <c r="G17" s="39"/>
      <c r="H17" s="39">
        <v>0</v>
      </c>
      <c r="I17" s="39"/>
      <c r="J17" s="16">
        <v>1</v>
      </c>
      <c r="K17" s="39"/>
      <c r="L17" s="39">
        <f>SUM(D17:K17)</f>
        <v>32</v>
      </c>
    </row>
    <row r="18" spans="2:13" s="28" customFormat="1" x14ac:dyDescent="0.2">
      <c r="B18" s="11" t="s">
        <v>17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">
      <c r="B19" s="49" t="s">
        <v>15</v>
      </c>
      <c r="D19" s="50">
        <f>+D18+D17</f>
        <v>33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1</v>
      </c>
      <c r="K19" s="39"/>
      <c r="L19" s="50">
        <f>+L18+L17</f>
        <v>34</v>
      </c>
    </row>
    <row r="20" spans="2:13" s="28" customFormat="1" x14ac:dyDescent="0.2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">
      <c r="B21" s="10" t="s">
        <v>35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">
      <c r="B22" t="s">
        <v>16</v>
      </c>
      <c r="D22" s="39">
        <v>347</v>
      </c>
      <c r="E22" s="39"/>
      <c r="F22" s="39">
        <v>5</v>
      </c>
      <c r="G22" s="39"/>
      <c r="H22" s="39">
        <v>15</v>
      </c>
      <c r="I22" s="39"/>
      <c r="J22" s="16">
        <v>3</v>
      </c>
      <c r="K22" s="39"/>
      <c r="L22" s="39">
        <f>SUM(D22:K22)</f>
        <v>370</v>
      </c>
    </row>
    <row r="23" spans="2:13" s="28" customFormat="1" x14ac:dyDescent="0.2">
      <c r="B23" s="11" t="s">
        <v>17</v>
      </c>
      <c r="D23" s="39">
        <v>36</v>
      </c>
      <c r="E23" s="39"/>
      <c r="F23" s="39">
        <v>0</v>
      </c>
      <c r="G23" s="39"/>
      <c r="H23" s="39">
        <v>3</v>
      </c>
      <c r="I23" s="39"/>
      <c r="J23" s="16">
        <v>0</v>
      </c>
      <c r="K23" s="39"/>
      <c r="L23" s="39">
        <f>SUM(D23:K23)</f>
        <v>39</v>
      </c>
    </row>
    <row r="24" spans="2:13" s="28" customFormat="1" x14ac:dyDescent="0.2">
      <c r="B24" s="49" t="s">
        <v>15</v>
      </c>
      <c r="D24" s="50">
        <f>+D23+D22</f>
        <v>383</v>
      </c>
      <c r="E24" s="39"/>
      <c r="F24" s="50">
        <f>+F23+F22</f>
        <v>5</v>
      </c>
      <c r="G24" s="39"/>
      <c r="H24" s="50">
        <f>+H23+H22</f>
        <v>18</v>
      </c>
      <c r="I24" s="39"/>
      <c r="J24" s="50">
        <f>+J23+J22</f>
        <v>3</v>
      </c>
      <c r="K24" s="39"/>
      <c r="L24" s="50">
        <f>+L23+L22</f>
        <v>409</v>
      </c>
    </row>
    <row r="25" spans="2:13" s="28" customFormat="1" x14ac:dyDescent="0.2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4.25" x14ac:dyDescent="0.2">
      <c r="B26" s="10" t="s">
        <v>36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">
      <c r="B27" t="s">
        <v>16</v>
      </c>
      <c r="D27" s="53">
        <f>ROUND(D12+D17+D22/6,0)</f>
        <v>403</v>
      </c>
      <c r="E27" s="53"/>
      <c r="F27" s="53">
        <f>ROUND(F12+F17+F22/6,0)</f>
        <v>78</v>
      </c>
      <c r="G27" s="53"/>
      <c r="H27" s="53">
        <f>ROUND(H12+H17+H22/6,0)</f>
        <v>3</v>
      </c>
      <c r="I27" s="53"/>
      <c r="J27" s="53">
        <f>ROUND(J12+J17+J22/6,0)-1</f>
        <v>22</v>
      </c>
      <c r="K27" s="53"/>
      <c r="L27" s="53">
        <f>SUM(D27:K27)</f>
        <v>506</v>
      </c>
      <c r="M27" s="54"/>
    </row>
    <row r="28" spans="2:13" s="28" customFormat="1" x14ac:dyDescent="0.2">
      <c r="B28" s="11" t="s">
        <v>17</v>
      </c>
      <c r="D28" s="53">
        <f>ROUND(D13+D18+D23/6,0)</f>
        <v>38</v>
      </c>
      <c r="E28" s="53"/>
      <c r="F28" s="53">
        <f>ROUND(F13+F18+F23/6,0)</f>
        <v>0</v>
      </c>
      <c r="G28" s="53"/>
      <c r="H28" s="53">
        <f>ROUND(H13+H18+H23/6,0)-1</f>
        <v>0</v>
      </c>
      <c r="I28" s="53"/>
      <c r="J28" s="53">
        <f>ROUND(J13+J18+J23/6,0)</f>
        <v>1</v>
      </c>
      <c r="K28" s="53"/>
      <c r="L28" s="53">
        <f>SUM(D28:K28)</f>
        <v>39</v>
      </c>
      <c r="M28" s="54"/>
    </row>
    <row r="29" spans="2:13" s="28" customFormat="1" ht="13.5" thickBot="1" x14ac:dyDescent="0.25">
      <c r="B29" s="49" t="s">
        <v>15</v>
      </c>
      <c r="D29" s="55">
        <f>+D28+D27</f>
        <v>441</v>
      </c>
      <c r="E29" s="39"/>
      <c r="F29" s="55">
        <f>+F28+F27</f>
        <v>78</v>
      </c>
      <c r="G29" s="39"/>
      <c r="H29" s="55">
        <f>+H28+H27</f>
        <v>3</v>
      </c>
      <c r="I29" s="39"/>
      <c r="J29" s="55">
        <f>+J28+J27</f>
        <v>23</v>
      </c>
      <c r="K29" s="39"/>
      <c r="L29" s="55">
        <f>+L28+L27</f>
        <v>545</v>
      </c>
    </row>
    <row r="30" spans="2:13" ht="13.5" thickTop="1" x14ac:dyDescent="0.2"/>
    <row r="32" spans="2:13" x14ac:dyDescent="0.2">
      <c r="B32" s="73" t="s">
        <v>37</v>
      </c>
    </row>
    <row r="33" spans="2:2" ht="6" customHeight="1" x14ac:dyDescent="0.2">
      <c r="B33" s="73"/>
    </row>
    <row r="34" spans="2:2" x14ac:dyDescent="0.2">
      <c r="B34" s="73" t="s">
        <v>28</v>
      </c>
    </row>
    <row r="35" spans="2:2" x14ac:dyDescent="0.2">
      <c r="B35" s="73" t="s">
        <v>29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Kimura, Corinne</cp:lastModifiedBy>
  <cp:lastPrinted>2020-03-04T21:26:04Z</cp:lastPrinted>
  <dcterms:created xsi:type="dcterms:W3CDTF">2014-09-30T22:55:06Z</dcterms:created>
  <dcterms:modified xsi:type="dcterms:W3CDTF">2025-08-04T04:05:21Z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  <property fmtid="{D5CDD505-2E9C-101B-9397-08002B2CF9AE}" pid="4" name="SV_HIDDEN_GRID_QUERY_LIST_4F35BF76-6C0D-4D9B-82B2-816C12CF3733">
    <vt:lpwstr>empty_477D106A-C0D6-4607-AEBD-E2C9D60EA279</vt:lpwstr>
  </property>
</Properties>
</file>