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3\3Q 2023\"/>
    </mc:Choice>
  </mc:AlternateContent>
  <xr:revisionPtr revIDLastSave="0" documentId="13_ncr:1_{3FA1146B-C9C0-41D2-9823-FCAF0407405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Statistics'!$A$1:$H$32</definedName>
    <definedName name="_xlnm.Print_Area" localSheetId="0">'Statements of Income'!$B$1:$F$123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78" i="5" l="1"/>
  <c r="Y36" i="5"/>
  <c r="V26" i="2"/>
  <c r="U53" i="5" l="1"/>
  <c r="W63" i="5"/>
  <c r="U60" i="5"/>
  <c r="Y24" i="2" l="1"/>
  <c r="X24" i="2"/>
  <c r="W24" i="2"/>
  <c r="V24" i="2"/>
  <c r="U24" i="2"/>
  <c r="Y17" i="2"/>
  <c r="X17" i="2"/>
  <c r="W17" i="2"/>
  <c r="V17" i="2"/>
  <c r="U17" i="2"/>
  <c r="Y12" i="2"/>
  <c r="X12" i="2"/>
  <c r="W12" i="2"/>
  <c r="V12" i="2"/>
  <c r="U12" i="2"/>
  <c r="V78" i="5"/>
  <c r="Y114" i="5"/>
  <c r="Y88" i="5" s="1"/>
  <c r="U72" i="5"/>
  <c r="X97" i="5"/>
  <c r="W97" i="5"/>
  <c r="V97" i="5"/>
  <c r="U97" i="5"/>
  <c r="X96" i="5"/>
  <c r="W96" i="5"/>
  <c r="V96" i="5"/>
  <c r="U96" i="5"/>
  <c r="X92" i="5"/>
  <c r="W92" i="5"/>
  <c r="V92" i="5"/>
  <c r="U92" i="5"/>
  <c r="X89" i="5"/>
  <c r="W89" i="5"/>
  <c r="V89" i="5"/>
  <c r="U89" i="5"/>
  <c r="X88" i="5"/>
  <c r="W88" i="5"/>
  <c r="V88" i="5"/>
  <c r="U88" i="5"/>
  <c r="X87" i="5"/>
  <c r="W87" i="5"/>
  <c r="V87" i="5"/>
  <c r="U87" i="5"/>
  <c r="X86" i="5"/>
  <c r="W86" i="5"/>
  <c r="V86" i="5"/>
  <c r="U86" i="5"/>
  <c r="X85" i="5"/>
  <c r="W85" i="5"/>
  <c r="V85" i="5"/>
  <c r="U85" i="5"/>
  <c r="X84" i="5"/>
  <c r="W84" i="5"/>
  <c r="V84" i="5"/>
  <c r="U84" i="5"/>
  <c r="X80" i="5"/>
  <c r="W80" i="5"/>
  <c r="V80" i="5"/>
  <c r="U80" i="5"/>
  <c r="X78" i="5"/>
  <c r="U78" i="5"/>
  <c r="X77" i="5"/>
  <c r="W77" i="5"/>
  <c r="V77" i="5"/>
  <c r="U77" i="5"/>
  <c r="X76" i="5"/>
  <c r="W76" i="5"/>
  <c r="V76" i="5"/>
  <c r="U76" i="5"/>
  <c r="X75" i="5"/>
  <c r="W75" i="5"/>
  <c r="V75" i="5"/>
  <c r="U75" i="5"/>
  <c r="X74" i="5"/>
  <c r="W74" i="5"/>
  <c r="V74" i="5"/>
  <c r="U74" i="5"/>
  <c r="X73" i="5"/>
  <c r="W73" i="5"/>
  <c r="V73" i="5"/>
  <c r="U73" i="5"/>
  <c r="X72" i="5"/>
  <c r="W72" i="5"/>
  <c r="V72" i="5"/>
  <c r="X71" i="5"/>
  <c r="W71" i="5"/>
  <c r="V71" i="5"/>
  <c r="U71" i="5"/>
  <c r="X70" i="5"/>
  <c r="W70" i="5"/>
  <c r="V70" i="5"/>
  <c r="U70" i="5"/>
  <c r="X69" i="5"/>
  <c r="W69" i="5"/>
  <c r="V69" i="5"/>
  <c r="U69" i="5"/>
  <c r="X68" i="5"/>
  <c r="W68" i="5"/>
  <c r="V68" i="5"/>
  <c r="U68" i="5"/>
  <c r="X64" i="5"/>
  <c r="W64" i="5"/>
  <c r="V64" i="5"/>
  <c r="U64" i="5"/>
  <c r="X63" i="5"/>
  <c r="V63" i="5"/>
  <c r="U63" i="5"/>
  <c r="X62" i="5"/>
  <c r="W62" i="5"/>
  <c r="V62" i="5"/>
  <c r="U62" i="5"/>
  <c r="X61" i="5"/>
  <c r="W61" i="5"/>
  <c r="V61" i="5"/>
  <c r="U61" i="5"/>
  <c r="X60" i="5"/>
  <c r="W60" i="5"/>
  <c r="V60" i="5"/>
  <c r="Y58" i="5"/>
  <c r="X58" i="5"/>
  <c r="W58" i="5"/>
  <c r="V58" i="5"/>
  <c r="U58" i="5"/>
  <c r="Y53" i="5"/>
  <c r="X52" i="5"/>
  <c r="X54" i="5" s="1"/>
  <c r="X102" i="5" s="1"/>
  <c r="W52" i="5"/>
  <c r="W54" i="5" s="1"/>
  <c r="W102" i="5" s="1"/>
  <c r="V52" i="5"/>
  <c r="V54" i="5" s="1"/>
  <c r="V102" i="5" s="1"/>
  <c r="U52" i="5"/>
  <c r="U54" i="5" s="1"/>
  <c r="U102" i="5" s="1"/>
  <c r="X46" i="5"/>
  <c r="W46" i="5"/>
  <c r="V46" i="5"/>
  <c r="U46" i="5"/>
  <c r="Y45" i="5"/>
  <c r="Y44" i="5"/>
  <c r="Y40" i="5"/>
  <c r="Y38" i="5"/>
  <c r="Y37" i="5"/>
  <c r="Y35" i="5"/>
  <c r="Y34" i="5"/>
  <c r="Y33" i="5"/>
  <c r="Y29" i="5"/>
  <c r="X28" i="5"/>
  <c r="W28" i="5"/>
  <c r="V28" i="5"/>
  <c r="U28" i="5"/>
  <c r="Y27" i="5"/>
  <c r="Y26" i="5"/>
  <c r="Y25" i="5"/>
  <c r="Y24" i="5"/>
  <c r="Y23" i="5"/>
  <c r="Y22" i="5"/>
  <c r="Y21" i="5"/>
  <c r="Y20" i="5"/>
  <c r="Y19" i="5"/>
  <c r="Y18" i="5"/>
  <c r="Y17" i="5"/>
  <c r="X14" i="5"/>
  <c r="X30" i="5" s="1"/>
  <c r="X39" i="5" s="1"/>
  <c r="X41" i="5" s="1"/>
  <c r="X48" i="5" s="1"/>
  <c r="W14" i="5"/>
  <c r="V14" i="5"/>
  <c r="U14" i="5"/>
  <c r="Y13" i="5"/>
  <c r="Y12" i="5"/>
  <c r="Y11" i="5"/>
  <c r="Y10" i="5"/>
  <c r="Y9" i="5"/>
  <c r="W65" i="5" l="1"/>
  <c r="X65" i="5"/>
  <c r="U79" i="5"/>
  <c r="V79" i="5"/>
  <c r="U98" i="5"/>
  <c r="V65" i="5"/>
  <c r="W79" i="5"/>
  <c r="X98" i="5"/>
  <c r="Y74" i="5"/>
  <c r="Y92" i="5"/>
  <c r="W30" i="5"/>
  <c r="W39" i="5" s="1"/>
  <c r="W41" i="5" s="1"/>
  <c r="W48" i="5" s="1"/>
  <c r="V30" i="5"/>
  <c r="V39" i="5" s="1"/>
  <c r="V41" i="5" s="1"/>
  <c r="V48" i="5" s="1"/>
  <c r="U26" i="2"/>
  <c r="U65" i="5"/>
  <c r="U81" i="5" s="1"/>
  <c r="Y61" i="5"/>
  <c r="Y84" i="5"/>
  <c r="Y69" i="5"/>
  <c r="Y63" i="5"/>
  <c r="Y86" i="5"/>
  <c r="Y68" i="5"/>
  <c r="Y77" i="5"/>
  <c r="Y70" i="5"/>
  <c r="Y76" i="5"/>
  <c r="Y97" i="5"/>
  <c r="Y62" i="5"/>
  <c r="Y85" i="5"/>
  <c r="Y78" i="5"/>
  <c r="Y26" i="2"/>
  <c r="X26" i="2"/>
  <c r="W26" i="2"/>
  <c r="Y64" i="5"/>
  <c r="Y87" i="5"/>
  <c r="Y72" i="5"/>
  <c r="Y71" i="5"/>
  <c r="Y73" i="5"/>
  <c r="Y89" i="5"/>
  <c r="X79" i="5"/>
  <c r="X81" i="5" s="1"/>
  <c r="Y60" i="5"/>
  <c r="Y75" i="5"/>
  <c r="Y80" i="5"/>
  <c r="Y96" i="5"/>
  <c r="V98" i="5"/>
  <c r="W98" i="5"/>
  <c r="U30" i="5"/>
  <c r="U39" i="5" s="1"/>
  <c r="U41" i="5" s="1"/>
  <c r="U48" i="5" s="1"/>
  <c r="Y52" i="5"/>
  <c r="Y54" i="5" s="1"/>
  <c r="Y102" i="5" s="1"/>
  <c r="Y46" i="5"/>
  <c r="Y28" i="5"/>
  <c r="Y14" i="5"/>
  <c r="R86" i="5"/>
  <c r="Q86" i="5"/>
  <c r="P86" i="5"/>
  <c r="O86" i="5"/>
  <c r="Y79" i="5" l="1"/>
  <c r="X91" i="5"/>
  <c r="X93" i="5" s="1"/>
  <c r="X100" i="5" s="1"/>
  <c r="W81" i="5"/>
  <c r="W91" i="5" s="1"/>
  <c r="W93" i="5" s="1"/>
  <c r="W100" i="5" s="1"/>
  <c r="Y65" i="5"/>
  <c r="Y81" i="5" s="1"/>
  <c r="Y98" i="5"/>
  <c r="V81" i="5"/>
  <c r="V91" i="5" s="1"/>
  <c r="V93" i="5" s="1"/>
  <c r="V100" i="5" s="1"/>
  <c r="Y30" i="5"/>
  <c r="Y39" i="5" s="1"/>
  <c r="Y41" i="5" s="1"/>
  <c r="Y48" i="5" s="1"/>
  <c r="D28" i="3"/>
  <c r="D27" i="3"/>
  <c r="S114" i="5"/>
  <c r="S35" i="5"/>
  <c r="Q74" i="5"/>
  <c r="Q63" i="5"/>
  <c r="P78" i="5"/>
  <c r="Y91" i="5" l="1"/>
  <c r="Y93" i="5" s="1"/>
  <c r="Y100" i="5" s="1"/>
  <c r="U91" i="5"/>
  <c r="U93" i="5" s="1"/>
  <c r="U100" i="5" s="1"/>
  <c r="S86" i="5"/>
  <c r="O60" i="5"/>
  <c r="O72" i="5"/>
  <c r="F27" i="5" l="1"/>
  <c r="F26" i="5"/>
  <c r="S24" i="2"/>
  <c r="R24" i="2"/>
  <c r="Q24" i="2"/>
  <c r="P24" i="2"/>
  <c r="O24" i="2"/>
  <c r="S17" i="2"/>
  <c r="R17" i="2"/>
  <c r="Q17" i="2"/>
  <c r="P17" i="2"/>
  <c r="O17" i="2"/>
  <c r="S12" i="2"/>
  <c r="R12" i="2"/>
  <c r="Q12" i="2"/>
  <c r="P12" i="2"/>
  <c r="O12" i="2"/>
  <c r="R80" i="5"/>
  <c r="R72" i="5"/>
  <c r="Q78" i="5"/>
  <c r="S115" i="5"/>
  <c r="R97" i="5"/>
  <c r="Q97" i="5"/>
  <c r="P97" i="5"/>
  <c r="O97" i="5"/>
  <c r="R96" i="5"/>
  <c r="Q96" i="5"/>
  <c r="P96" i="5"/>
  <c r="O96" i="5"/>
  <c r="R92" i="5"/>
  <c r="Q92" i="5"/>
  <c r="P92" i="5"/>
  <c r="O92" i="5"/>
  <c r="R89" i="5"/>
  <c r="Q89" i="5"/>
  <c r="P89" i="5"/>
  <c r="O89" i="5"/>
  <c r="R88" i="5"/>
  <c r="Q88" i="5"/>
  <c r="P88" i="5"/>
  <c r="O88" i="5"/>
  <c r="R87" i="5"/>
  <c r="Q87" i="5"/>
  <c r="P87" i="5"/>
  <c r="O87" i="5"/>
  <c r="R85" i="5"/>
  <c r="Q85" i="5"/>
  <c r="P85" i="5"/>
  <c r="O85" i="5"/>
  <c r="R84" i="5"/>
  <c r="Q84" i="5"/>
  <c r="P84" i="5"/>
  <c r="O84" i="5"/>
  <c r="P80" i="5"/>
  <c r="R78" i="5"/>
  <c r="O78" i="5"/>
  <c r="R77" i="5"/>
  <c r="Q77" i="5"/>
  <c r="P77" i="5"/>
  <c r="O77" i="5"/>
  <c r="R76" i="5"/>
  <c r="Q76" i="5"/>
  <c r="P76" i="5"/>
  <c r="O76" i="5"/>
  <c r="R75" i="5"/>
  <c r="Q75" i="5"/>
  <c r="P75" i="5"/>
  <c r="O75" i="5"/>
  <c r="R74" i="5"/>
  <c r="P74" i="5"/>
  <c r="O74" i="5"/>
  <c r="R73" i="5"/>
  <c r="Q73" i="5"/>
  <c r="P73" i="5"/>
  <c r="O73" i="5"/>
  <c r="Q72" i="5"/>
  <c r="P72" i="5"/>
  <c r="R71" i="5"/>
  <c r="Q71" i="5"/>
  <c r="P71" i="5"/>
  <c r="O71" i="5"/>
  <c r="R70" i="5"/>
  <c r="Q70" i="5"/>
  <c r="P70" i="5"/>
  <c r="O70" i="5"/>
  <c r="R69" i="5"/>
  <c r="Q69" i="5"/>
  <c r="P69" i="5"/>
  <c r="O69" i="5"/>
  <c r="R68" i="5"/>
  <c r="Q68" i="5"/>
  <c r="P68" i="5"/>
  <c r="O68" i="5"/>
  <c r="R64" i="5"/>
  <c r="Q64" i="5"/>
  <c r="P64" i="5"/>
  <c r="P65" i="5" s="1"/>
  <c r="O64" i="5"/>
  <c r="R63" i="5"/>
  <c r="P63" i="5"/>
  <c r="O63" i="5"/>
  <c r="R62" i="5"/>
  <c r="Q62" i="5"/>
  <c r="P62" i="5"/>
  <c r="O62" i="5"/>
  <c r="O65" i="5" s="1"/>
  <c r="R61" i="5"/>
  <c r="Q61" i="5"/>
  <c r="P61" i="5"/>
  <c r="O61" i="5"/>
  <c r="R60" i="5"/>
  <c r="Q60" i="5"/>
  <c r="P60" i="5"/>
  <c r="S58" i="5"/>
  <c r="R58" i="5"/>
  <c r="Q58" i="5"/>
  <c r="P58" i="5"/>
  <c r="O58" i="5"/>
  <c r="S53" i="5"/>
  <c r="R52" i="5"/>
  <c r="R54" i="5" s="1"/>
  <c r="R102" i="5" s="1"/>
  <c r="Q52" i="5"/>
  <c r="Q54" i="5" s="1"/>
  <c r="Q102" i="5" s="1"/>
  <c r="P52" i="5"/>
  <c r="P54" i="5" s="1"/>
  <c r="P102" i="5" s="1"/>
  <c r="O52" i="5"/>
  <c r="O54" i="5" s="1"/>
  <c r="O102" i="5" s="1"/>
  <c r="R46" i="5"/>
  <c r="Q46" i="5"/>
  <c r="P46" i="5"/>
  <c r="O46" i="5"/>
  <c r="S45" i="5"/>
  <c r="S97" i="5" s="1"/>
  <c r="S44" i="5"/>
  <c r="S40" i="5"/>
  <c r="S92" i="5" s="1"/>
  <c r="S38" i="5"/>
  <c r="S89" i="5" s="1"/>
  <c r="S37" i="5"/>
  <c r="S88" i="5" s="1"/>
  <c r="S36" i="5"/>
  <c r="S87" i="5" s="1"/>
  <c r="S34" i="5"/>
  <c r="S85" i="5" s="1"/>
  <c r="S33" i="5"/>
  <c r="S84" i="5" s="1"/>
  <c r="Q80" i="5"/>
  <c r="O80" i="5"/>
  <c r="R28" i="5"/>
  <c r="Q28" i="5"/>
  <c r="P28" i="5"/>
  <c r="O28" i="5"/>
  <c r="S26" i="5"/>
  <c r="S77" i="5" s="1"/>
  <c r="S25" i="5"/>
  <c r="S76" i="5" s="1"/>
  <c r="S24" i="5"/>
  <c r="S75" i="5" s="1"/>
  <c r="S23" i="5"/>
  <c r="S74" i="5" s="1"/>
  <c r="S22" i="5"/>
  <c r="S73" i="5" s="1"/>
  <c r="S21" i="5"/>
  <c r="S72" i="5" s="1"/>
  <c r="S20" i="5"/>
  <c r="S71" i="5" s="1"/>
  <c r="S19" i="5"/>
  <c r="S70" i="5" s="1"/>
  <c r="S18" i="5"/>
  <c r="S69" i="5" s="1"/>
  <c r="S17" i="5"/>
  <c r="S68" i="5" s="1"/>
  <c r="R14" i="5"/>
  <c r="Q14" i="5"/>
  <c r="P14" i="5"/>
  <c r="O14" i="5"/>
  <c r="S13" i="5"/>
  <c r="S64" i="5" s="1"/>
  <c r="S12" i="5"/>
  <c r="S63" i="5" s="1"/>
  <c r="S11" i="5"/>
  <c r="S62" i="5" s="1"/>
  <c r="S10" i="5"/>
  <c r="S61" i="5" s="1"/>
  <c r="S9" i="5"/>
  <c r="S60" i="5" s="1"/>
  <c r="L29" i="5"/>
  <c r="L80" i="5" s="1"/>
  <c r="K29" i="5"/>
  <c r="I29" i="5"/>
  <c r="L72" i="5"/>
  <c r="L60" i="5"/>
  <c r="L78" i="5"/>
  <c r="M44" i="5"/>
  <c r="L97" i="5"/>
  <c r="L96" i="5"/>
  <c r="L92" i="5"/>
  <c r="L89" i="5"/>
  <c r="L88" i="5"/>
  <c r="L87" i="5"/>
  <c r="L85" i="5"/>
  <c r="L84" i="5"/>
  <c r="L77" i="5"/>
  <c r="L76" i="5"/>
  <c r="L75" i="5"/>
  <c r="L74" i="5"/>
  <c r="L73" i="5"/>
  <c r="L71" i="5"/>
  <c r="L70" i="5"/>
  <c r="L69" i="5"/>
  <c r="L68" i="5"/>
  <c r="L64" i="5"/>
  <c r="L63" i="5"/>
  <c r="L62" i="5"/>
  <c r="L61" i="5"/>
  <c r="R65" i="5" l="1"/>
  <c r="O26" i="2"/>
  <c r="S46" i="5"/>
  <c r="L79" i="5"/>
  <c r="O79" i="5"/>
  <c r="O81" i="5" s="1"/>
  <c r="Q65" i="5"/>
  <c r="P79" i="5"/>
  <c r="Q79" i="5"/>
  <c r="Q30" i="5"/>
  <c r="S65" i="5"/>
  <c r="S96" i="5"/>
  <c r="S98" i="5" s="1"/>
  <c r="R98" i="5"/>
  <c r="R79" i="5"/>
  <c r="O30" i="5"/>
  <c r="Q98" i="5"/>
  <c r="R26" i="2"/>
  <c r="Q26" i="2"/>
  <c r="S26" i="2"/>
  <c r="O98" i="5"/>
  <c r="P98" i="5"/>
  <c r="P30" i="5"/>
  <c r="R30" i="5"/>
  <c r="S14" i="5"/>
  <c r="S27" i="5"/>
  <c r="S78" i="5" s="1"/>
  <c r="S79" i="5" s="1"/>
  <c r="S52" i="5"/>
  <c r="S54" i="5" s="1"/>
  <c r="S102" i="5" s="1"/>
  <c r="S29" i="5"/>
  <c r="S80" i="5" s="1"/>
  <c r="L65" i="5"/>
  <c r="L98" i="5"/>
  <c r="O39" i="5" l="1"/>
  <c r="O41" i="5" s="1"/>
  <c r="O48" i="5" s="1"/>
  <c r="P39" i="5"/>
  <c r="P41" i="5" s="1"/>
  <c r="P48" i="5" s="1"/>
  <c r="R39" i="5"/>
  <c r="R41" i="5" s="1"/>
  <c r="R48" i="5" s="1"/>
  <c r="Q39" i="5"/>
  <c r="Q41" i="5" s="1"/>
  <c r="Q48" i="5" s="1"/>
  <c r="Q81" i="5"/>
  <c r="Q91" i="5" s="1"/>
  <c r="Q93" i="5" s="1"/>
  <c r="Q100" i="5" s="1"/>
  <c r="R81" i="5"/>
  <c r="L81" i="5"/>
  <c r="L91" i="5" s="1"/>
  <c r="L93" i="5" s="1"/>
  <c r="L100" i="5" s="1"/>
  <c r="S81" i="5"/>
  <c r="S91" i="5" s="1"/>
  <c r="S93" i="5" s="1"/>
  <c r="P81" i="5"/>
  <c r="P91" i="5" s="1"/>
  <c r="P93" i="5" s="1"/>
  <c r="P100" i="5" s="1"/>
  <c r="S28" i="5"/>
  <c r="S30" i="5" s="1"/>
  <c r="R91" i="5" l="1"/>
  <c r="R93" i="5" s="1"/>
  <c r="R100" i="5" s="1"/>
  <c r="S100" i="5"/>
  <c r="S39" i="5"/>
  <c r="S41" i="5" s="1"/>
  <c r="S48" i="5" s="1"/>
  <c r="O91" i="5"/>
  <c r="O93" i="5" s="1"/>
  <c r="O100" i="5" s="1"/>
  <c r="M53" i="5" l="1"/>
  <c r="G53" i="5" l="1"/>
  <c r="L52" i="5" l="1"/>
  <c r="L54" i="5" s="1"/>
  <c r="L102" i="5" s="1"/>
  <c r="K52" i="5"/>
  <c r="K54" i="5" s="1"/>
  <c r="K102" i="5" s="1"/>
  <c r="J52" i="5"/>
  <c r="J54" i="5" s="1"/>
  <c r="J102" i="5" s="1"/>
  <c r="I52" i="5"/>
  <c r="I54" i="5" s="1"/>
  <c r="I102" i="5" s="1"/>
  <c r="K80" i="5"/>
  <c r="J80" i="5"/>
  <c r="I80" i="5"/>
  <c r="M29" i="5"/>
  <c r="M80" i="5" s="1"/>
  <c r="K78" i="5"/>
  <c r="G29" i="5" l="1"/>
  <c r="I38" i="5"/>
  <c r="J27" i="5"/>
  <c r="I27" i="5"/>
  <c r="M26" i="5"/>
  <c r="M77" i="5" s="1"/>
  <c r="G26" i="5" l="1"/>
  <c r="K77" i="5"/>
  <c r="J77" i="5"/>
  <c r="I77" i="5"/>
  <c r="J78" i="5" l="1"/>
  <c r="M24" i="2" l="1"/>
  <c r="L24" i="2"/>
  <c r="K24" i="2"/>
  <c r="J24" i="2"/>
  <c r="I24" i="2"/>
  <c r="M17" i="2"/>
  <c r="L17" i="2"/>
  <c r="K17" i="2"/>
  <c r="J17" i="2"/>
  <c r="I17" i="2"/>
  <c r="M12" i="2"/>
  <c r="L12" i="2"/>
  <c r="K12" i="2"/>
  <c r="J12" i="2"/>
  <c r="I12" i="2"/>
  <c r="K64" i="5"/>
  <c r="I64" i="5"/>
  <c r="M115" i="5"/>
  <c r="K97" i="5"/>
  <c r="J97" i="5"/>
  <c r="I97" i="5"/>
  <c r="K96" i="5"/>
  <c r="J96" i="5"/>
  <c r="I96" i="5"/>
  <c r="K92" i="5"/>
  <c r="J92" i="5"/>
  <c r="I92" i="5"/>
  <c r="K89" i="5"/>
  <c r="J89" i="5"/>
  <c r="I89" i="5"/>
  <c r="K88" i="5"/>
  <c r="J88" i="5"/>
  <c r="I88" i="5"/>
  <c r="K87" i="5"/>
  <c r="J87" i="5"/>
  <c r="I87" i="5"/>
  <c r="K85" i="5"/>
  <c r="J85" i="5"/>
  <c r="I85" i="5"/>
  <c r="K84" i="5"/>
  <c r="J84" i="5"/>
  <c r="I84" i="5"/>
  <c r="K76" i="5"/>
  <c r="J76" i="5"/>
  <c r="I76" i="5"/>
  <c r="K75" i="5"/>
  <c r="J75" i="5"/>
  <c r="I75" i="5"/>
  <c r="K74" i="5"/>
  <c r="J74" i="5"/>
  <c r="I74" i="5"/>
  <c r="K73" i="5"/>
  <c r="J73" i="5"/>
  <c r="I73" i="5"/>
  <c r="K72" i="5"/>
  <c r="J72" i="5"/>
  <c r="I72" i="5"/>
  <c r="K71" i="5"/>
  <c r="J71" i="5"/>
  <c r="I71" i="5"/>
  <c r="K70" i="5"/>
  <c r="J70" i="5"/>
  <c r="I70" i="5"/>
  <c r="J69" i="5"/>
  <c r="I69" i="5"/>
  <c r="K68" i="5"/>
  <c r="J68" i="5"/>
  <c r="I68" i="5"/>
  <c r="K63" i="5"/>
  <c r="J63" i="5"/>
  <c r="I63" i="5"/>
  <c r="K62" i="5"/>
  <c r="J62" i="5"/>
  <c r="I62" i="5"/>
  <c r="K61" i="5"/>
  <c r="J61" i="5"/>
  <c r="I61" i="5"/>
  <c r="K60" i="5"/>
  <c r="J60" i="5"/>
  <c r="I60" i="5"/>
  <c r="M58" i="5"/>
  <c r="L58" i="5"/>
  <c r="K58" i="5"/>
  <c r="J58" i="5"/>
  <c r="I58" i="5"/>
  <c r="K46" i="5"/>
  <c r="J46" i="5"/>
  <c r="I46" i="5"/>
  <c r="L46" i="5"/>
  <c r="M40" i="5"/>
  <c r="M92" i="5" s="1"/>
  <c r="M38" i="5"/>
  <c r="M89" i="5" s="1"/>
  <c r="M37" i="5"/>
  <c r="M36" i="5"/>
  <c r="M34" i="5"/>
  <c r="M85" i="5" s="1"/>
  <c r="M33" i="5"/>
  <c r="L28" i="5"/>
  <c r="I78" i="5"/>
  <c r="M25" i="5"/>
  <c r="M24" i="5"/>
  <c r="M75" i="5" s="1"/>
  <c r="M23" i="5"/>
  <c r="M74" i="5" s="1"/>
  <c r="M22" i="5"/>
  <c r="M21" i="5"/>
  <c r="M72" i="5" s="1"/>
  <c r="M20" i="5"/>
  <c r="M19" i="5"/>
  <c r="M70" i="5" s="1"/>
  <c r="K28" i="5"/>
  <c r="M17" i="5"/>
  <c r="K14" i="5"/>
  <c r="K30" i="5" s="1"/>
  <c r="J14" i="5"/>
  <c r="I14" i="5"/>
  <c r="L14" i="5"/>
  <c r="J64" i="5"/>
  <c r="M12" i="5"/>
  <c r="M11" i="5"/>
  <c r="M10" i="5"/>
  <c r="M9" i="5"/>
  <c r="M52" i="5" s="1"/>
  <c r="M54" i="5" s="1"/>
  <c r="M102" i="5" s="1"/>
  <c r="L30" i="5" l="1"/>
  <c r="L39" i="5" s="1"/>
  <c r="L41" i="5" s="1"/>
  <c r="L48" i="5" s="1"/>
  <c r="J79" i="5"/>
  <c r="M84" i="5"/>
  <c r="M63" i="5"/>
  <c r="M73" i="5"/>
  <c r="K98" i="5"/>
  <c r="M88" i="5"/>
  <c r="M62" i="5"/>
  <c r="M96" i="5"/>
  <c r="J98" i="5"/>
  <c r="I65" i="5"/>
  <c r="M26" i="2"/>
  <c r="I26" i="2"/>
  <c r="J26" i="2"/>
  <c r="K26" i="2"/>
  <c r="L26" i="2"/>
  <c r="I98" i="5"/>
  <c r="M76" i="5"/>
  <c r="M87" i="5"/>
  <c r="M18" i="5"/>
  <c r="M69" i="5" s="1"/>
  <c r="K65" i="5"/>
  <c r="K69" i="5"/>
  <c r="K79" i="5" s="1"/>
  <c r="M60" i="5"/>
  <c r="M13" i="5"/>
  <c r="M64" i="5" s="1"/>
  <c r="M71" i="5"/>
  <c r="J65" i="5"/>
  <c r="M61" i="5"/>
  <c r="I79" i="5"/>
  <c r="K39" i="5"/>
  <c r="K41" i="5" s="1"/>
  <c r="K48" i="5" s="1"/>
  <c r="M45" i="5"/>
  <c r="M97" i="5" s="1"/>
  <c r="M27" i="5"/>
  <c r="M78" i="5" s="1"/>
  <c r="I28" i="5"/>
  <c r="I30" i="5" s="1"/>
  <c r="M68" i="5"/>
  <c r="J28" i="5"/>
  <c r="K81" i="5" l="1"/>
  <c r="K91" i="5" s="1"/>
  <c r="K93" i="5" s="1"/>
  <c r="K100" i="5" s="1"/>
  <c r="J81" i="5"/>
  <c r="I81" i="5"/>
  <c r="I91" i="5" s="1"/>
  <c r="M79" i="5"/>
  <c r="I39" i="5"/>
  <c r="I41" i="5" s="1"/>
  <c r="I48" i="5" s="1"/>
  <c r="J30" i="5"/>
  <c r="J39" i="5" s="1"/>
  <c r="J41" i="5" s="1"/>
  <c r="J48" i="5" s="1"/>
  <c r="M65" i="5"/>
  <c r="M81" i="5" s="1"/>
  <c r="M14" i="5"/>
  <c r="M46" i="5"/>
  <c r="M98" i="5"/>
  <c r="M28" i="5"/>
  <c r="F28" i="3"/>
  <c r="M30" i="5" l="1"/>
  <c r="M91" i="5"/>
  <c r="M39" i="5"/>
  <c r="M41" i="5" s="1"/>
  <c r="M48" i="5" s="1"/>
  <c r="J91" i="5"/>
  <c r="J93" i="5" s="1"/>
  <c r="J100" i="5" s="1"/>
  <c r="I93" i="5"/>
  <c r="I100" i="5" s="1"/>
  <c r="F24" i="2"/>
  <c r="F17" i="2"/>
  <c r="F12" i="2"/>
  <c r="F26" i="2" s="1"/>
  <c r="E24" i="2"/>
  <c r="E17" i="2"/>
  <c r="E12" i="2"/>
  <c r="M93" i="5" l="1"/>
  <c r="M100" i="5" s="1"/>
  <c r="E26" i="2"/>
  <c r="F80" i="5" l="1"/>
  <c r="F77" i="5" l="1"/>
  <c r="F97" i="5" l="1"/>
  <c r="F92" i="5"/>
  <c r="G40" i="5"/>
  <c r="F89" i="5"/>
  <c r="F87" i="5"/>
  <c r="F85" i="5"/>
  <c r="F84" i="5"/>
  <c r="F78" i="5"/>
  <c r="F76" i="5"/>
  <c r="F75" i="5"/>
  <c r="F74" i="5"/>
  <c r="F73" i="5"/>
  <c r="F72" i="5"/>
  <c r="F70" i="5"/>
  <c r="F69" i="5"/>
  <c r="F68" i="5"/>
  <c r="F64" i="5"/>
  <c r="F63" i="5"/>
  <c r="F62" i="5"/>
  <c r="F61" i="5"/>
  <c r="E52" i="5"/>
  <c r="E54" i="5" s="1"/>
  <c r="F60" i="5" l="1"/>
  <c r="F65" i="5" s="1"/>
  <c r="F52" i="5"/>
  <c r="F54" i="5" s="1"/>
  <c r="F102" i="5" s="1"/>
  <c r="G24" i="5"/>
  <c r="G20" i="5"/>
  <c r="G17" i="5"/>
  <c r="G11" i="5"/>
  <c r="G37" i="5"/>
  <c r="F88" i="5"/>
  <c r="G36" i="5"/>
  <c r="G12" i="5"/>
  <c r="G23" i="5"/>
  <c r="F79" i="5"/>
  <c r="G45" i="5"/>
  <c r="F46" i="5"/>
  <c r="F96" i="5"/>
  <c r="F98" i="5" s="1"/>
  <c r="G38" i="5"/>
  <c r="G34" i="5"/>
  <c r="G33" i="5"/>
  <c r="G25" i="5"/>
  <c r="G21" i="5"/>
  <c r="G19" i="5"/>
  <c r="F28" i="5"/>
  <c r="G10" i="5"/>
  <c r="G22" i="5"/>
  <c r="E46" i="5"/>
  <c r="G44" i="5"/>
  <c r="G18" i="5"/>
  <c r="F14" i="5"/>
  <c r="G9" i="5"/>
  <c r="G52" i="5" s="1"/>
  <c r="G54" i="5" s="1"/>
  <c r="F81" i="5" l="1"/>
  <c r="F91" i="5" s="1"/>
  <c r="F93" i="5" s="1"/>
  <c r="F100" i="5" s="1"/>
  <c r="F30" i="5"/>
  <c r="G46" i="5"/>
  <c r="F39" i="5"/>
  <c r="F41" i="5" s="1"/>
  <c r="F48" i="5" s="1"/>
  <c r="E80" i="5" l="1"/>
  <c r="E102" i="5"/>
  <c r="E77" i="5"/>
  <c r="G114" i="5"/>
  <c r="E60" i="5"/>
  <c r="E62" i="5"/>
  <c r="E97" i="5"/>
  <c r="E84" i="5"/>
  <c r="E71" i="5"/>
  <c r="E68" i="5"/>
  <c r="E69" i="5"/>
  <c r="E63" i="5"/>
  <c r="E61" i="5"/>
  <c r="E72" i="5"/>
  <c r="E73" i="5"/>
  <c r="E70" i="5"/>
  <c r="E75" i="5"/>
  <c r="E76" i="5"/>
  <c r="E88" i="5"/>
  <c r="E92" i="5"/>
  <c r="E87" i="5"/>
  <c r="E74" i="5"/>
  <c r="E85" i="5"/>
  <c r="E96" i="5"/>
  <c r="E89" i="5"/>
  <c r="G80" i="5" l="1"/>
  <c r="G102" i="5"/>
  <c r="G77" i="5"/>
  <c r="E98" i="5"/>
  <c r="G92" i="5"/>
  <c r="G97" i="5"/>
  <c r="G88" i="5"/>
  <c r="G87" i="5"/>
  <c r="G60" i="5"/>
  <c r="G70" i="5"/>
  <c r="G75" i="5"/>
  <c r="G61" i="5"/>
  <c r="G71" i="5"/>
  <c r="G74" i="5"/>
  <c r="G62" i="5"/>
  <c r="G68" i="5"/>
  <c r="G72" i="5"/>
  <c r="G76" i="5"/>
  <c r="G85" i="5"/>
  <c r="G63" i="5"/>
  <c r="G73" i="5"/>
  <c r="G96" i="5"/>
  <c r="G84" i="5"/>
  <c r="G69" i="5"/>
  <c r="G89" i="5"/>
  <c r="G98" i="5" l="1"/>
  <c r="E64" i="5"/>
  <c r="E65" i="5" s="1"/>
  <c r="G13" i="5"/>
  <c r="E14" i="5"/>
  <c r="G64" i="5" l="1"/>
  <c r="G65" i="5" s="1"/>
  <c r="G14" i="5"/>
  <c r="E78" i="5"/>
  <c r="E79" i="5" s="1"/>
  <c r="E81" i="5" s="1"/>
  <c r="G27" i="5"/>
  <c r="G28" i="5" s="1"/>
  <c r="E28" i="5"/>
  <c r="E91" i="5" l="1"/>
  <c r="E93" i="5" s="1"/>
  <c r="E100" i="5" s="1"/>
  <c r="E30" i="5"/>
  <c r="E39" i="5" s="1"/>
  <c r="E41" i="5" s="1"/>
  <c r="E48" i="5" s="1"/>
  <c r="G78" i="5"/>
  <c r="G79" i="5" s="1"/>
  <c r="G81" i="5" s="1"/>
  <c r="G30" i="5"/>
  <c r="G91" i="5" l="1"/>
  <c r="G93" i="5" s="1"/>
  <c r="G100" i="5" s="1"/>
  <c r="G39" i="5"/>
  <c r="G41" i="5" s="1"/>
  <c r="G48" i="5" s="1"/>
  <c r="H28" i="3" l="1"/>
  <c r="F27" i="3"/>
  <c r="G24" i="2" l="1"/>
  <c r="G17" i="2"/>
  <c r="G12" i="2"/>
  <c r="G26" i="2" l="1"/>
  <c r="J28" i="3" l="1"/>
  <c r="H27" i="3" l="1"/>
  <c r="J27" i="3" l="1"/>
  <c r="H29" i="3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<sst xmlns="http://schemas.openxmlformats.org/spreadsheetml/2006/main" count="181" uniqueCount="93">
  <si>
    <t>California Resources Corporation</t>
  </si>
  <si>
    <t>Total</t>
  </si>
  <si>
    <t>Reserves:</t>
  </si>
  <si>
    <t>San Joaquin</t>
  </si>
  <si>
    <t>Basin</t>
  </si>
  <si>
    <t>Los Angeles</t>
  </si>
  <si>
    <t>Ventura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</si>
  <si>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</si>
  <si>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</si>
  <si>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</si>
  <si>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</si>
  <si>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</si>
  <si>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</si>
  <si>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</si>
  <si>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</si>
  <si>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</si>
  <si>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</si>
  <si>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</si>
  <si>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</si>
  <si>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</si>
  <si>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</si>
  <si>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Other revenue</t>
  </si>
  <si>
    <t xml:space="preserve">  Depreciation, depletion and amortization</t>
  </si>
  <si>
    <t xml:space="preserve">  Asset impairments</t>
  </si>
  <si>
    <t xml:space="preserve">  Taxes other than on income</t>
  </si>
  <si>
    <t xml:space="preserve">  Exploration expense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</si>
  <si>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</si>
  <si>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</si>
  <si>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</si>
  <si>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</si>
  <si>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</si>
  <si>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</si>
  <si>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</si>
  <si>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</si>
  <si>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</si>
  <si>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</si>
  <si>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</si>
  <si>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</si>
  <si>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</si>
  <si>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</si>
  <si>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</si>
  <si>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</si>
  <si>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</si>
  <si>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</si>
  <si>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</si>
  <si>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</si>
  <si>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</si>
  <si>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t>TY 2020</t>
  </si>
  <si>
    <t>10 MOS</t>
  </si>
  <si>
    <t>2 MOS</t>
  </si>
  <si>
    <t>Predecessor</t>
  </si>
  <si>
    <t>Successor</t>
  </si>
  <si>
    <t>Combined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</si>
  <si>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</si>
  <si>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</si>
  <si>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</si>
  <si>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</si>
  <si>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</si>
  <si>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</si>
  <si>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(Non-GAAP)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</si>
  <si>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</si>
  <si>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</si>
  <si>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</si>
  <si>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</si>
  <si>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</si>
  <si>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</si>
  <si>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</si>
  <si>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</si>
  <si>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</si>
  <si>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</si>
  <si>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</si>
  <si>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</si>
  <si>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</si>
  <si>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</si>
  <si>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</si>
  <si>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</si>
  <si>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</si>
  <si>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</si>
  <si>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</si>
  <si>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</si>
  <si>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>At December 31,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</si>
  <si>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</si>
  <si>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</si>
  <si>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</si>
  <si>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</si>
  <si>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</si>
  <si>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</si>
  <si>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t xml:space="preserve">   Total operating revenues</t>
  </si>
  <si>
    <t xml:space="preserve">  Transportation costs</t>
  </si>
  <si>
    <t>Other non-operating (expenses) income, net</t>
  </si>
  <si>
    <t xml:space="preserve">  Marketing of purchased natural gas</t>
  </si>
  <si>
    <t xml:space="preserve">  Purchased natural gas marketing expense</t>
  </si>
  <si>
    <t xml:space="preserve">  Net gain on asset divestitures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</si>
</sst>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  <numFmt numFmtId="169" formatCode="_(* #,##0.0_);_(* \(#,##0.0\);_(* &quot;-&quot;?_);_(@_)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165" fontId="3" fillId="0" borderId="0" xfId="0" applyNumberFormat="1" applyFont="1" applyFill="1" applyAlignment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7" fillId="0" borderId="0" xfId="0" applyFont="1" applyFill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169" fontId="0" fillId="0" borderId="0" xfId="0" applyNumberFormat="1" applyFill="1"/>
    <xf numFmtId="167" fontId="0" fillId="0" borderId="0" xfId="0" applyNumberFormat="1" applyFill="1"/>
    <xf numFmtId="0" fontId="1" fillId="0" borderId="3" xfId="0" applyFont="1" applyFill="1" applyBorder="1" applyAlignment="1">
      <alignment horizontal="center"/>
    </xf>
    <xf numFmtId="0" fontId="4" fillId="0" borderId="0" xfId="0" applyFont="1" applyBorder="1" applyAlignment="1"/>
    <xf numFmtId="41" fontId="3" fillId="0" borderId="9" xfId="0" applyNumberFormat="1" applyFont="1" applyFill="1" applyBorder="1" applyAlignment="1"/>
    <xf numFmtId="0" fontId="0" fillId="0" borderId="7" xfId="0" applyFill="1" applyBorder="1"/>
    <xf numFmtId="43" fontId="3" fillId="0" borderId="7" xfId="0" applyNumberFormat="1" applyFont="1" applyFill="1" applyBorder="1" applyAlignment="1"/>
    <xf numFmtId="43" fontId="0" fillId="0" borderId="7" xfId="0" applyNumberFormat="1" applyFill="1" applyBorder="1"/>
    <xf numFmtId="43" fontId="3" fillId="0" borderId="8" xfId="0" applyNumberFormat="1" applyFont="1" applyFill="1" applyBorder="1" applyAlignment="1"/>
    <xf numFmtId="165" fontId="3" fillId="0" borderId="11" xfId="0" applyNumberFormat="1" applyFont="1" applyFill="1" applyBorder="1" applyAlignment="1"/>
    <xf numFmtId="42" fontId="3" fillId="0" borderId="7" xfId="0" applyNumberFormat="1" applyFont="1" applyFill="1" applyBorder="1" applyAlignment="1"/>
    <xf numFmtId="0" fontId="0" fillId="0" borderId="6" xfId="0" applyFill="1" applyBorder="1"/>
    <xf numFmtId="0" fontId="0" fillId="0" borderId="4" xfId="0" applyFill="1" applyBorder="1" applyAlignment="1">
      <alignment horizontal="center"/>
    </xf>
    <xf numFmtId="41" fontId="3" fillId="0" borderId="7" xfId="0" applyNumberFormat="1" applyFont="1" applyFill="1" applyBorder="1" applyAlignment="1"/>
    <xf numFmtId="41" fontId="3" fillId="0" borderId="10" xfId="0" applyNumberFormat="1" applyFont="1" applyFill="1" applyBorder="1" applyAlignment="1"/>
    <xf numFmtId="41" fontId="0" fillId="0" borderId="7" xfId="0" applyNumberFormat="1" applyFill="1" applyBorder="1"/>
    <xf numFmtId="41" fontId="3" fillId="0" borderId="10" xfId="0" applyNumberFormat="1" applyFont="1" applyFill="1" applyBorder="1"/>
    <xf numFmtId="41" fontId="3" fillId="0" borderId="11" xfId="0" applyNumberFormat="1" applyFont="1" applyFill="1" applyBorder="1"/>
    <xf numFmtId="41" fontId="3" fillId="0" borderId="7" xfId="0" applyNumberFormat="1" applyFont="1" applyFill="1" applyBorder="1"/>
    <xf numFmtId="0" fontId="0" fillId="0" borderId="6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2" xfId="0" applyNumberFormat="1" applyFont="1" applyFill="1" applyBorder="1" applyAlignment="1"/>
    <xf numFmtId="43" fontId="3" fillId="0" borderId="13" xfId="0" applyNumberFormat="1" applyFont="1" applyFill="1" applyBorder="1" applyAlignment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3" fontId="3" fillId="0" borderId="14" xfId="0" applyNumberFormat="1" applyFont="1" applyFill="1" applyBorder="1" applyAlignment="1"/>
    <xf numFmtId="43" fontId="3" fillId="0" borderId="9" xfId="0" applyNumberFormat="1" applyFont="1" applyFill="1" applyBorder="1" applyAlignment="1"/>
    <xf numFmtId="43" fontId="3" fillId="0" borderId="15" xfId="0" applyNumberFormat="1" applyFont="1" applyFill="1" applyBorder="1" applyAlignment="1"/>
    <xf numFmtId="42" fontId="0" fillId="0" borderId="0" xfId="0" applyNumberFormat="1" applyFill="1"/>
    <xf numFmtId="42" fontId="0" fillId="0" borderId="7" xfId="0" applyNumberFormat="1" applyFill="1" applyBorder="1"/>
    <xf numFmtId="41" fontId="0" fillId="0" borderId="0" xfId="0" applyNumberFormat="1" applyFill="1"/>
    <xf numFmtId="42" fontId="3" fillId="0" borderId="0" xfId="0" applyNumberFormat="1" applyFont="1" applyFill="1" applyBorder="1" applyAlignment="1"/>
    <xf numFmtId="44" fontId="3" fillId="0" borderId="3" xfId="2" applyFont="1" applyBorder="1" applyAlignment="1"/>
    <xf numFmtId="44" fontId="3" fillId="0" borderId="0" xfId="2" applyFont="1" applyBorder="1" applyAlignment="1"/>
    <xf numFmtId="44" fontId="3" fillId="0" borderId="8" xfId="2" applyFont="1" applyFill="1" applyBorder="1" applyAlignment="1"/>
    <xf numFmtId="0" fontId="3" fillId="0" borderId="0" xfId="0" applyNumberFormat="1" applyFont="1" applyFill="1" applyAlignment="1"/>
    <xf numFmtId="41" fontId="3" fillId="0" borderId="8" xfId="0" applyNumberFormat="1" applyFont="1" applyFill="1" applyBorder="1" applyAlignment="1"/>
    <xf numFmtId="0" fontId="0" fillId="0" borderId="0" xfId="0" applyFill="1" applyAlignment="1">
      <alignment horizontal="center"/>
    </xf>
    <xf numFmtId="0" fontId="0" fillId="0" borderId="4" xfId="0" quotePrefix="1" applyFill="1" applyBorder="1"/>
    <xf numFmtId="42" fontId="0" fillId="0" borderId="0" xfId="0" applyNumberFormat="1" applyFill="1" applyAlignment="1"/>
    <xf numFmtId="42" fontId="0" fillId="0" borderId="7" xfId="0" applyNumberFormat="1" applyFill="1" applyBorder="1" applyAlignment="1"/>
    <xf numFmtId="41" fontId="3" fillId="0" borderId="14" xfId="0" applyNumberFormat="1" applyFont="1" applyFill="1" applyBorder="1" applyAlignment="1"/>
    <xf numFmtId="41" fontId="0" fillId="0" borderId="7" xfId="0" applyNumberFormat="1" applyFont="1" applyFill="1" applyBorder="1"/>
    <xf numFmtId="42" fontId="0" fillId="0" borderId="2" xfId="0" applyNumberFormat="1" applyFill="1" applyBorder="1"/>
    <xf numFmtId="42" fontId="0" fillId="0" borderId="11" xfId="0" applyNumberFormat="1" applyFill="1" applyBorder="1"/>
    <xf numFmtId="165" fontId="3" fillId="0" borderId="7" xfId="0" applyNumberFormat="1" applyFont="1" applyFill="1" applyBorder="1" applyAlignment="1"/>
    <xf numFmtId="43" fontId="3" fillId="0" borderId="0" xfId="0" applyNumberFormat="1" applyFont="1" applyFill="1" applyAlignment="1"/>
    <xf numFmtId="44" fontId="3" fillId="0" borderId="3" xfId="2" applyFont="1" applyFill="1" applyBorder="1" applyAlignment="1"/>
    <xf numFmtId="43" fontId="0" fillId="0" borderId="0" xfId="1" applyFont="1" applyFill="1"/>
    <xf numFmtId="43" fontId="0" fillId="0" borderId="0" xfId="1" applyFont="1" applyFill="1" applyBorder="1"/>
    <xf numFmtId="41" fontId="3" fillId="0" borderId="13" xfId="0" applyNumberFormat="1" applyFont="1" applyFill="1" applyBorder="1" applyAlignment="1"/>
    <xf numFmtId="41" fontId="0" fillId="0" borderId="15" xfId="0" applyNumberFormat="1" applyFill="1" applyBorder="1"/>
    <xf numFmtId="43" fontId="0" fillId="0" borderId="0" xfId="1" applyNumberFormat="1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L130"/>
  <sheetViews>
    <sheetView showGridLines="0" tabSelected="1" zoomScale="82" zoomScaleNormal="82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2" sqref="B2"/>
    </sheetView>
  </sheetViews>
  <sheetFormatPr defaultRowHeight="12.5" outlineLevelRow="1" x14ac:dyDescent="0.25"/>
  <cols>
    <col min="1" max="1" width="4" customWidth="1"/>
    <col min="3" max="3" width="48.7265625" customWidth="1"/>
    <col min="4" max="4" width="2.7265625" customWidth="1"/>
    <col min="5" max="5" width="11.1796875" style="34" customWidth="1"/>
    <col min="6" max="6" width="10.6328125" style="34" bestFit="1" customWidth="1"/>
    <col min="7" max="7" width="11" style="34" customWidth="1"/>
    <col min="8" max="8" width="2.6328125" customWidth="1"/>
    <col min="9" max="9" width="12.36328125" customWidth="1"/>
    <col min="10" max="11" width="8.7265625" customWidth="1"/>
    <col min="12" max="12" width="9.36328125" customWidth="1"/>
    <col min="13" max="13" width="9.453125" customWidth="1"/>
    <col min="14" max="14" width="2.6328125" customWidth="1"/>
    <col min="15" max="19" width="9.453125" customWidth="1"/>
    <col min="20" max="20" width="2.6328125" customWidth="1"/>
    <col min="21" max="21" width="12.1796875" customWidth="1"/>
    <col min="25" max="26" width="10.453125" bestFit="1" customWidth="1"/>
    <col min="27" max="27" width="8.7265625" customWidth="1"/>
  </cols>
  <sheetData>
    <row r="2" spans="1:25" ht="18" x14ac:dyDescent="0.4">
      <c r="B2" s="22" t="s">
        <v>0</v>
      </c>
    </row>
    <row r="3" spans="1:25" x14ac:dyDescent="0.25">
      <c r="A3" t="s">
        <v>20</v>
      </c>
      <c r="F3" s="48"/>
    </row>
    <row r="4" spans="1:25" x14ac:dyDescent="0.25">
      <c r="F4" s="90"/>
      <c r="G4" s="125" t="s">
        <v>52</v>
      </c>
    </row>
    <row r="5" spans="1:25" ht="16" thickBot="1" x14ac:dyDescent="0.4">
      <c r="B5" s="24" t="s">
        <v>34</v>
      </c>
      <c r="C5" s="26"/>
      <c r="D5" s="26"/>
      <c r="E5" s="41" t="s">
        <v>50</v>
      </c>
      <c r="F5" s="104" t="s">
        <v>51</v>
      </c>
      <c r="G5" s="126" t="s">
        <v>59</v>
      </c>
      <c r="I5" s="26"/>
      <c r="J5" s="26"/>
      <c r="K5" s="26"/>
      <c r="L5" s="26"/>
      <c r="M5" s="26"/>
      <c r="N5" s="11"/>
      <c r="O5" s="26"/>
      <c r="P5" s="26"/>
      <c r="Q5" s="26"/>
      <c r="R5" s="26"/>
      <c r="S5" s="26"/>
      <c r="U5" s="26"/>
      <c r="V5" s="26"/>
      <c r="W5" s="26"/>
      <c r="X5" s="26"/>
      <c r="Y5" s="26"/>
    </row>
    <row r="6" spans="1:25" ht="6" customHeight="1" thickTop="1" x14ac:dyDescent="0.3">
      <c r="B6" s="1"/>
      <c r="F6" s="90"/>
    </row>
    <row r="7" spans="1:25" ht="13" x14ac:dyDescent="0.3">
      <c r="E7" s="87" t="s">
        <v>48</v>
      </c>
      <c r="F7" s="105" t="s">
        <v>49</v>
      </c>
      <c r="G7" s="87" t="s">
        <v>47</v>
      </c>
      <c r="I7" s="31" t="s">
        <v>53</v>
      </c>
      <c r="J7" s="31" t="s">
        <v>54</v>
      </c>
      <c r="K7" s="31" t="s">
        <v>55</v>
      </c>
      <c r="L7" s="31" t="s">
        <v>56</v>
      </c>
      <c r="M7" s="31" t="s">
        <v>1</v>
      </c>
      <c r="N7" s="83"/>
      <c r="O7" s="31" t="s">
        <v>76</v>
      </c>
      <c r="P7" s="31" t="s">
        <v>77</v>
      </c>
      <c r="Q7" s="31" t="s">
        <v>78</v>
      </c>
      <c r="R7" s="31" t="s">
        <v>79</v>
      </c>
      <c r="S7" s="31" t="s">
        <v>1</v>
      </c>
      <c r="U7" s="31" t="s">
        <v>82</v>
      </c>
      <c r="V7" s="31" t="s">
        <v>83</v>
      </c>
      <c r="W7" s="31" t="s">
        <v>84</v>
      </c>
      <c r="X7" s="31" t="s">
        <v>85</v>
      </c>
      <c r="Y7" s="31" t="s">
        <v>1</v>
      </c>
    </row>
    <row r="8" spans="1:25" ht="13" x14ac:dyDescent="0.3">
      <c r="B8" s="1" t="s">
        <v>45</v>
      </c>
      <c r="C8" s="2"/>
      <c r="E8" s="127"/>
      <c r="F8" s="128"/>
      <c r="G8" s="127"/>
      <c r="I8" s="3"/>
      <c r="J8" s="4"/>
      <c r="K8" s="4"/>
      <c r="L8" s="4"/>
      <c r="M8" s="4"/>
      <c r="N8" s="4"/>
      <c r="O8" s="3"/>
      <c r="P8" s="4"/>
      <c r="Q8" s="4"/>
      <c r="R8" s="4"/>
      <c r="S8" s="4"/>
      <c r="U8" s="3"/>
      <c r="V8" s="4"/>
      <c r="W8" s="4"/>
      <c r="X8" s="4"/>
      <c r="Y8" s="4"/>
    </row>
    <row r="9" spans="1:25" x14ac:dyDescent="0.25">
      <c r="B9" s="37" t="s">
        <v>72</v>
      </c>
      <c r="C9" s="7"/>
      <c r="E9" s="58">
        <v>1092</v>
      </c>
      <c r="F9" s="95">
        <v>237</v>
      </c>
      <c r="G9" s="58">
        <f>E9+F9</f>
        <v>1329</v>
      </c>
      <c r="H9" s="7"/>
      <c r="I9" s="58">
        <v>432</v>
      </c>
      <c r="J9" s="23">
        <v>478</v>
      </c>
      <c r="K9" s="23">
        <v>549</v>
      </c>
      <c r="L9" s="23">
        <v>589</v>
      </c>
      <c r="M9" s="58">
        <f>+I9+J9+K9+L9</f>
        <v>2048</v>
      </c>
      <c r="N9" s="58"/>
      <c r="O9" s="58">
        <v>628</v>
      </c>
      <c r="P9" s="23">
        <v>718</v>
      </c>
      <c r="Q9" s="23">
        <v>680</v>
      </c>
      <c r="R9" s="23">
        <v>617</v>
      </c>
      <c r="S9" s="58">
        <f>+O9+P9+Q9+R9</f>
        <v>2643</v>
      </c>
      <c r="U9" s="58">
        <v>715</v>
      </c>
      <c r="V9" s="23">
        <v>447</v>
      </c>
      <c r="W9" s="23">
        <v>510</v>
      </c>
      <c r="X9" s="23">
        <v>0</v>
      </c>
      <c r="Y9" s="58">
        <f>+U9+V9+W9+X9</f>
        <v>1672</v>
      </c>
    </row>
    <row r="10" spans="1:25" x14ac:dyDescent="0.25">
      <c r="B10" s="37" t="s">
        <v>66</v>
      </c>
      <c r="C10" s="7"/>
      <c r="E10" s="51">
        <v>91</v>
      </c>
      <c r="F10" s="98">
        <v>-141</v>
      </c>
      <c r="G10" s="51">
        <f>E10+F10</f>
        <v>-50</v>
      </c>
      <c r="H10" s="7"/>
      <c r="I10" s="9">
        <v>-213</v>
      </c>
      <c r="J10" s="9">
        <v>-265</v>
      </c>
      <c r="K10" s="9">
        <v>-125</v>
      </c>
      <c r="L10" s="9">
        <v>-73</v>
      </c>
      <c r="M10" s="9">
        <f t="shared" ref="M10:M13" si="0">+I10+J10+K10+L10</f>
        <v>-676</v>
      </c>
      <c r="N10" s="9"/>
      <c r="O10" s="9">
        <v>-562</v>
      </c>
      <c r="P10" s="9">
        <v>-100</v>
      </c>
      <c r="Q10" s="9">
        <v>243</v>
      </c>
      <c r="R10" s="9">
        <v>-132</v>
      </c>
      <c r="S10" s="9">
        <f t="shared" ref="S10:S13" si="1">+O10+P10+Q10+R10</f>
        <v>-551</v>
      </c>
      <c r="U10" s="9">
        <v>42</v>
      </c>
      <c r="V10" s="9">
        <v>31</v>
      </c>
      <c r="W10" s="9">
        <v>-204</v>
      </c>
      <c r="X10" s="9">
        <v>0</v>
      </c>
      <c r="Y10" s="9">
        <f t="shared" ref="Y10:Y13" si="2">+U10+V10+W10+X10</f>
        <v>-131</v>
      </c>
    </row>
    <row r="11" spans="1:25" x14ac:dyDescent="0.25">
      <c r="B11" s="37" t="s">
        <v>90</v>
      </c>
      <c r="C11" s="7"/>
      <c r="E11" s="51">
        <v>124</v>
      </c>
      <c r="F11" s="98">
        <v>38</v>
      </c>
      <c r="G11" s="51">
        <f t="shared" ref="G11:G13" si="3">E11+F11</f>
        <v>162</v>
      </c>
      <c r="H11" s="7"/>
      <c r="I11" s="9">
        <v>98</v>
      </c>
      <c r="J11" s="9">
        <v>48</v>
      </c>
      <c r="K11" s="9">
        <v>95</v>
      </c>
      <c r="L11" s="9">
        <v>71</v>
      </c>
      <c r="M11" s="9">
        <f t="shared" si="0"/>
        <v>312</v>
      </c>
      <c r="N11" s="9"/>
      <c r="O11" s="9">
        <v>32</v>
      </c>
      <c r="P11" s="9">
        <v>75</v>
      </c>
      <c r="Q11" s="9">
        <v>113</v>
      </c>
      <c r="R11" s="9">
        <v>94</v>
      </c>
      <c r="S11" s="9">
        <f t="shared" si="1"/>
        <v>314</v>
      </c>
      <c r="U11" s="9">
        <v>184</v>
      </c>
      <c r="V11" s="9">
        <v>72</v>
      </c>
      <c r="W11" s="9">
        <v>78</v>
      </c>
      <c r="X11" s="9">
        <v>0</v>
      </c>
      <c r="Y11" s="9">
        <f t="shared" si="2"/>
        <v>334</v>
      </c>
    </row>
    <row r="12" spans="1:25" x14ac:dyDescent="0.25">
      <c r="B12" s="37" t="s">
        <v>46</v>
      </c>
      <c r="C12" s="7"/>
      <c r="E12" s="51">
        <v>86</v>
      </c>
      <c r="F12" s="98">
        <v>15</v>
      </c>
      <c r="G12" s="51">
        <f t="shared" si="3"/>
        <v>101</v>
      </c>
      <c r="H12" s="7"/>
      <c r="I12" s="9">
        <v>33</v>
      </c>
      <c r="J12" s="9">
        <v>33</v>
      </c>
      <c r="K12" s="9">
        <v>65</v>
      </c>
      <c r="L12" s="9">
        <v>41</v>
      </c>
      <c r="M12" s="9">
        <f t="shared" si="0"/>
        <v>172</v>
      </c>
      <c r="N12" s="9"/>
      <c r="O12" s="9">
        <v>34</v>
      </c>
      <c r="P12" s="9">
        <v>49</v>
      </c>
      <c r="Q12" s="9">
        <v>88</v>
      </c>
      <c r="R12" s="9">
        <v>90</v>
      </c>
      <c r="S12" s="9">
        <f t="shared" si="1"/>
        <v>261</v>
      </c>
      <c r="U12" s="9">
        <v>68</v>
      </c>
      <c r="V12" s="9">
        <v>34</v>
      </c>
      <c r="W12" s="9">
        <v>67</v>
      </c>
      <c r="X12" s="9">
        <v>0</v>
      </c>
      <c r="Y12" s="9">
        <f t="shared" si="2"/>
        <v>169</v>
      </c>
    </row>
    <row r="13" spans="1:25" x14ac:dyDescent="0.25">
      <c r="B13" s="37" t="s">
        <v>21</v>
      </c>
      <c r="C13" s="7"/>
      <c r="E13" s="51">
        <v>14</v>
      </c>
      <c r="F13" s="98">
        <v>3</v>
      </c>
      <c r="G13" s="51">
        <f t="shared" si="3"/>
        <v>17</v>
      </c>
      <c r="H13" s="7"/>
      <c r="I13" s="51">
        <v>13</v>
      </c>
      <c r="J13" s="9">
        <v>10</v>
      </c>
      <c r="K13" s="9">
        <v>4</v>
      </c>
      <c r="L13" s="9">
        <v>6</v>
      </c>
      <c r="M13" s="51">
        <f t="shared" si="0"/>
        <v>33</v>
      </c>
      <c r="N13" s="51"/>
      <c r="O13" s="51">
        <v>21</v>
      </c>
      <c r="P13" s="9">
        <v>5</v>
      </c>
      <c r="Q13" s="9">
        <v>1</v>
      </c>
      <c r="R13" s="9">
        <v>13</v>
      </c>
      <c r="S13" s="51">
        <f t="shared" si="1"/>
        <v>40</v>
      </c>
      <c r="U13" s="51">
        <v>15</v>
      </c>
      <c r="V13" s="9">
        <v>7</v>
      </c>
      <c r="W13" s="9">
        <v>9</v>
      </c>
      <c r="X13" s="9">
        <v>0</v>
      </c>
      <c r="Y13" s="51">
        <f t="shared" si="2"/>
        <v>31</v>
      </c>
    </row>
    <row r="14" spans="1:25" x14ac:dyDescent="0.25">
      <c r="B14" s="6" t="s">
        <v>87</v>
      </c>
      <c r="C14" s="7"/>
      <c r="E14" s="59">
        <f t="shared" ref="E14" si="4">SUM(E9:E13)</f>
        <v>1407</v>
      </c>
      <c r="F14" s="89">
        <f t="shared" ref="F14" si="5">SUM(F9:F13)</f>
        <v>152</v>
      </c>
      <c r="G14" s="59">
        <f>SUM(G9:G13)</f>
        <v>1559</v>
      </c>
      <c r="H14" s="7"/>
      <c r="I14" s="59">
        <f>SUM(I9:I13)</f>
        <v>363</v>
      </c>
      <c r="J14" s="59">
        <f>SUM(J9:J13)</f>
        <v>304</v>
      </c>
      <c r="K14" s="59">
        <f>SUM(K9:K13)</f>
        <v>588</v>
      </c>
      <c r="L14" s="59">
        <f>SUM(L9:L13)</f>
        <v>634</v>
      </c>
      <c r="M14" s="59">
        <f>SUM(M9:M13)</f>
        <v>1889</v>
      </c>
      <c r="N14" s="66"/>
      <c r="O14" s="59">
        <f>SUM(O9:O13)</f>
        <v>153</v>
      </c>
      <c r="P14" s="59">
        <f>SUM(P9:P13)</f>
        <v>747</v>
      </c>
      <c r="Q14" s="59">
        <f>SUM(Q9:Q13)</f>
        <v>1125</v>
      </c>
      <c r="R14" s="59">
        <f>SUM(R9:R13)</f>
        <v>682</v>
      </c>
      <c r="S14" s="59">
        <f>SUM(S9:S13)</f>
        <v>2707</v>
      </c>
      <c r="U14" s="59">
        <f>SUM(U9:U13)</f>
        <v>1024</v>
      </c>
      <c r="V14" s="59">
        <f>SUM(V9:V13)</f>
        <v>591</v>
      </c>
      <c r="W14" s="59">
        <f>SUM(W9:W13)</f>
        <v>460</v>
      </c>
      <c r="X14" s="59">
        <f>SUM(X9:X13)</f>
        <v>0</v>
      </c>
      <c r="Y14" s="59">
        <f>SUM(Y9:Y13)</f>
        <v>2075</v>
      </c>
    </row>
    <row r="15" spans="1:25" ht="12.65" customHeight="1" x14ac:dyDescent="0.25">
      <c r="B15" s="6"/>
      <c r="C15" s="7"/>
      <c r="E15" s="58"/>
      <c r="F15" s="95"/>
      <c r="G15" s="58"/>
      <c r="H15" s="7"/>
      <c r="I15" s="23"/>
      <c r="J15" s="23"/>
      <c r="K15" s="23"/>
      <c r="L15" s="23"/>
      <c r="M15" s="58"/>
      <c r="N15" s="58"/>
      <c r="O15" s="23"/>
      <c r="P15" s="23"/>
      <c r="Q15" s="23"/>
      <c r="R15" s="23"/>
      <c r="S15" s="58"/>
      <c r="U15" s="23"/>
      <c r="V15" s="23"/>
      <c r="W15" s="23"/>
      <c r="X15" s="23"/>
      <c r="Y15" s="58"/>
    </row>
    <row r="16" spans="1:25" ht="13" x14ac:dyDescent="0.3">
      <c r="B16" s="1" t="s">
        <v>61</v>
      </c>
      <c r="C16" s="7"/>
      <c r="E16" s="58"/>
      <c r="F16" s="95"/>
      <c r="G16" s="58"/>
      <c r="H16" s="7"/>
      <c r="I16" s="23"/>
      <c r="J16" s="23"/>
      <c r="K16" s="23"/>
      <c r="L16" s="23"/>
      <c r="M16" s="58"/>
      <c r="N16" s="58"/>
      <c r="O16" s="23"/>
      <c r="P16" s="23"/>
      <c r="Q16" s="23"/>
      <c r="R16" s="23"/>
      <c r="S16" s="58"/>
      <c r="U16" s="23"/>
      <c r="V16" s="23"/>
      <c r="W16" s="23"/>
      <c r="X16" s="23"/>
      <c r="Y16" s="58"/>
    </row>
    <row r="17" spans="2:25" x14ac:dyDescent="0.25">
      <c r="B17" s="37" t="s">
        <v>57</v>
      </c>
      <c r="C17" s="7"/>
      <c r="E17" s="51">
        <v>511</v>
      </c>
      <c r="F17" s="98">
        <v>114</v>
      </c>
      <c r="G17" s="51">
        <f t="shared" ref="G17:G27" si="6">E17+F17</f>
        <v>625</v>
      </c>
      <c r="H17" s="7"/>
      <c r="I17" s="9">
        <v>164</v>
      </c>
      <c r="J17" s="9">
        <v>169</v>
      </c>
      <c r="K17" s="9">
        <v>190</v>
      </c>
      <c r="L17" s="9">
        <v>182</v>
      </c>
      <c r="M17" s="51">
        <f t="shared" ref="M17:M27" si="7">+I17+J17+K17+L17</f>
        <v>705</v>
      </c>
      <c r="N17" s="51"/>
      <c r="O17" s="9">
        <v>182</v>
      </c>
      <c r="P17" s="9">
        <v>190</v>
      </c>
      <c r="Q17" s="9">
        <v>214</v>
      </c>
      <c r="R17" s="9">
        <v>199</v>
      </c>
      <c r="S17" s="51">
        <f t="shared" ref="S17:S27" si="8">+O17+P17+Q17+R17</f>
        <v>785</v>
      </c>
      <c r="U17" s="9">
        <v>254</v>
      </c>
      <c r="V17" s="9">
        <v>186</v>
      </c>
      <c r="W17" s="9">
        <v>196</v>
      </c>
      <c r="X17" s="9">
        <v>0</v>
      </c>
      <c r="Y17" s="51">
        <f t="shared" ref="Y17:Y27" si="9">+U17+V17+W17+X17</f>
        <v>636</v>
      </c>
    </row>
    <row r="18" spans="2:25" x14ac:dyDescent="0.25">
      <c r="B18" s="37" t="s">
        <v>81</v>
      </c>
      <c r="C18" s="7"/>
      <c r="E18" s="51">
        <v>212</v>
      </c>
      <c r="F18" s="98">
        <v>40</v>
      </c>
      <c r="G18" s="51">
        <f t="shared" si="6"/>
        <v>252</v>
      </c>
      <c r="H18" s="7"/>
      <c r="I18" s="9">
        <v>48</v>
      </c>
      <c r="J18" s="9">
        <v>48</v>
      </c>
      <c r="K18" s="9">
        <v>51</v>
      </c>
      <c r="L18" s="9">
        <v>53</v>
      </c>
      <c r="M18" s="51">
        <f t="shared" si="7"/>
        <v>200</v>
      </c>
      <c r="N18" s="51"/>
      <c r="O18" s="9">
        <v>48</v>
      </c>
      <c r="P18" s="9">
        <v>56</v>
      </c>
      <c r="Q18" s="9">
        <v>59</v>
      </c>
      <c r="R18" s="9">
        <v>59</v>
      </c>
      <c r="S18" s="51">
        <f t="shared" si="8"/>
        <v>222</v>
      </c>
      <c r="U18" s="9">
        <v>65</v>
      </c>
      <c r="V18" s="9">
        <v>71</v>
      </c>
      <c r="W18" s="9">
        <v>65</v>
      </c>
      <c r="X18" s="9">
        <v>0</v>
      </c>
      <c r="Y18" s="51">
        <f t="shared" si="9"/>
        <v>201</v>
      </c>
    </row>
    <row r="19" spans="2:25" x14ac:dyDescent="0.25">
      <c r="B19" s="37" t="s">
        <v>22</v>
      </c>
      <c r="C19" s="7"/>
      <c r="E19" s="51">
        <v>328</v>
      </c>
      <c r="F19" s="98">
        <v>34</v>
      </c>
      <c r="G19" s="51">
        <f t="shared" si="6"/>
        <v>362</v>
      </c>
      <c r="H19" s="7"/>
      <c r="I19" s="9">
        <v>52</v>
      </c>
      <c r="J19" s="9">
        <v>54</v>
      </c>
      <c r="K19" s="9">
        <v>54</v>
      </c>
      <c r="L19" s="9">
        <v>53</v>
      </c>
      <c r="M19" s="51">
        <f t="shared" si="7"/>
        <v>213</v>
      </c>
      <c r="N19" s="51"/>
      <c r="O19" s="9">
        <v>49</v>
      </c>
      <c r="P19" s="9">
        <v>50</v>
      </c>
      <c r="Q19" s="9">
        <v>50</v>
      </c>
      <c r="R19" s="9">
        <v>49</v>
      </c>
      <c r="S19" s="51">
        <f t="shared" si="8"/>
        <v>198</v>
      </c>
      <c r="U19" s="9">
        <v>58</v>
      </c>
      <c r="V19" s="9">
        <v>56</v>
      </c>
      <c r="W19" s="9">
        <v>56</v>
      </c>
      <c r="X19" s="9">
        <v>0</v>
      </c>
      <c r="Y19" s="51">
        <f t="shared" si="9"/>
        <v>170</v>
      </c>
    </row>
    <row r="20" spans="2:25" x14ac:dyDescent="0.25">
      <c r="B20" s="37" t="s">
        <v>23</v>
      </c>
      <c r="C20" s="7"/>
      <c r="E20" s="51">
        <v>1736</v>
      </c>
      <c r="F20" s="98">
        <v>0</v>
      </c>
      <c r="G20" s="51">
        <f t="shared" si="6"/>
        <v>1736</v>
      </c>
      <c r="H20" s="7"/>
      <c r="I20" s="9">
        <v>3</v>
      </c>
      <c r="J20" s="9">
        <v>0</v>
      </c>
      <c r="K20" s="9">
        <v>25</v>
      </c>
      <c r="L20" s="9">
        <v>0</v>
      </c>
      <c r="M20" s="51">
        <f t="shared" si="7"/>
        <v>28</v>
      </c>
      <c r="N20" s="51"/>
      <c r="O20" s="9">
        <v>0</v>
      </c>
      <c r="P20" s="9">
        <v>2</v>
      </c>
      <c r="Q20" s="9">
        <v>0</v>
      </c>
      <c r="R20" s="9">
        <v>0</v>
      </c>
      <c r="S20" s="51">
        <f t="shared" si="8"/>
        <v>2</v>
      </c>
      <c r="U20" s="9">
        <v>3</v>
      </c>
      <c r="V20" s="9">
        <v>0</v>
      </c>
      <c r="W20" s="9">
        <v>0</v>
      </c>
      <c r="X20" s="9">
        <v>0</v>
      </c>
      <c r="Y20" s="51">
        <f t="shared" si="9"/>
        <v>3</v>
      </c>
    </row>
    <row r="21" spans="2:25" x14ac:dyDescent="0.25">
      <c r="B21" s="37" t="s">
        <v>24</v>
      </c>
      <c r="C21" s="7"/>
      <c r="E21" s="51">
        <v>134</v>
      </c>
      <c r="F21" s="98">
        <v>10</v>
      </c>
      <c r="G21" s="51">
        <f t="shared" si="6"/>
        <v>144</v>
      </c>
      <c r="H21" s="7"/>
      <c r="I21" s="9">
        <v>40</v>
      </c>
      <c r="J21" s="9">
        <v>37</v>
      </c>
      <c r="K21" s="9">
        <v>36</v>
      </c>
      <c r="L21" s="9">
        <v>32</v>
      </c>
      <c r="M21" s="9">
        <f t="shared" si="7"/>
        <v>145</v>
      </c>
      <c r="N21" s="9"/>
      <c r="O21" s="9">
        <v>34</v>
      </c>
      <c r="P21" s="9">
        <v>42</v>
      </c>
      <c r="Q21" s="9">
        <v>44</v>
      </c>
      <c r="R21" s="9">
        <v>42</v>
      </c>
      <c r="S21" s="9">
        <f t="shared" si="8"/>
        <v>162</v>
      </c>
      <c r="U21" s="9">
        <v>42</v>
      </c>
      <c r="V21" s="9">
        <v>42</v>
      </c>
      <c r="W21" s="9">
        <v>48</v>
      </c>
      <c r="X21" s="9">
        <v>0</v>
      </c>
      <c r="Y21" s="9">
        <f t="shared" si="9"/>
        <v>132</v>
      </c>
    </row>
    <row r="22" spans="2:25" x14ac:dyDescent="0.25">
      <c r="B22" s="37" t="s">
        <v>25</v>
      </c>
      <c r="C22" s="7"/>
      <c r="E22" s="51">
        <v>10</v>
      </c>
      <c r="F22" s="98">
        <v>1</v>
      </c>
      <c r="G22" s="51">
        <f t="shared" si="6"/>
        <v>11</v>
      </c>
      <c r="H22" s="7"/>
      <c r="I22" s="9">
        <v>2</v>
      </c>
      <c r="J22" s="9">
        <v>2</v>
      </c>
      <c r="K22" s="9">
        <v>2</v>
      </c>
      <c r="L22" s="9">
        <v>1</v>
      </c>
      <c r="M22" s="9">
        <f t="shared" si="7"/>
        <v>7</v>
      </c>
      <c r="N22" s="9"/>
      <c r="O22" s="9">
        <v>1</v>
      </c>
      <c r="P22" s="9">
        <v>1</v>
      </c>
      <c r="Q22" s="9">
        <v>1</v>
      </c>
      <c r="R22" s="9">
        <v>1</v>
      </c>
      <c r="S22" s="9">
        <f t="shared" si="8"/>
        <v>4</v>
      </c>
      <c r="U22" s="9">
        <v>1</v>
      </c>
      <c r="V22" s="9">
        <v>1</v>
      </c>
      <c r="W22" s="9">
        <v>0</v>
      </c>
      <c r="X22" s="9">
        <v>0</v>
      </c>
      <c r="Y22" s="9">
        <f t="shared" si="9"/>
        <v>2</v>
      </c>
    </row>
    <row r="23" spans="2:25" x14ac:dyDescent="0.25">
      <c r="B23" s="37" t="s">
        <v>91</v>
      </c>
      <c r="C23" s="7"/>
      <c r="E23" s="51">
        <v>78</v>
      </c>
      <c r="F23" s="98">
        <v>24</v>
      </c>
      <c r="G23" s="51">
        <f t="shared" si="6"/>
        <v>102</v>
      </c>
      <c r="H23" s="7"/>
      <c r="I23" s="9">
        <v>61</v>
      </c>
      <c r="J23" s="9">
        <v>30</v>
      </c>
      <c r="K23" s="9">
        <v>53</v>
      </c>
      <c r="L23" s="9">
        <v>52</v>
      </c>
      <c r="M23" s="9">
        <f t="shared" si="7"/>
        <v>196</v>
      </c>
      <c r="N23" s="9"/>
      <c r="O23" s="9">
        <v>21</v>
      </c>
      <c r="P23" s="9">
        <v>67</v>
      </c>
      <c r="Q23" s="9">
        <v>98</v>
      </c>
      <c r="R23" s="9">
        <v>87</v>
      </c>
      <c r="S23" s="9">
        <f t="shared" si="8"/>
        <v>273</v>
      </c>
      <c r="U23" s="9">
        <v>124</v>
      </c>
      <c r="V23" s="9">
        <v>27</v>
      </c>
      <c r="W23" s="9">
        <v>31</v>
      </c>
      <c r="X23" s="9">
        <v>0</v>
      </c>
      <c r="Y23" s="9">
        <f t="shared" si="9"/>
        <v>182</v>
      </c>
    </row>
    <row r="24" spans="2:25" x14ac:dyDescent="0.25">
      <c r="B24" s="37" t="s">
        <v>62</v>
      </c>
      <c r="C24" s="7"/>
      <c r="E24" s="51">
        <v>53</v>
      </c>
      <c r="F24" s="98">
        <v>10</v>
      </c>
      <c r="G24" s="51">
        <f t="shared" si="6"/>
        <v>63</v>
      </c>
      <c r="H24" s="7"/>
      <c r="I24" s="9">
        <v>24</v>
      </c>
      <c r="J24" s="9">
        <v>17</v>
      </c>
      <c r="K24" s="9">
        <v>29</v>
      </c>
      <c r="L24" s="9">
        <v>26</v>
      </c>
      <c r="M24" s="9">
        <f t="shared" si="7"/>
        <v>96</v>
      </c>
      <c r="N24" s="9"/>
      <c r="O24" s="9">
        <v>24</v>
      </c>
      <c r="P24" s="9">
        <v>33</v>
      </c>
      <c r="Q24" s="9">
        <v>42</v>
      </c>
      <c r="R24" s="9">
        <v>68</v>
      </c>
      <c r="S24" s="9">
        <f t="shared" si="8"/>
        <v>167</v>
      </c>
      <c r="U24" s="9">
        <v>49</v>
      </c>
      <c r="V24" s="9">
        <v>13</v>
      </c>
      <c r="W24" s="9">
        <v>23</v>
      </c>
      <c r="X24" s="9">
        <v>0</v>
      </c>
      <c r="Y24" s="9">
        <f t="shared" si="9"/>
        <v>85</v>
      </c>
    </row>
    <row r="25" spans="2:25" x14ac:dyDescent="0.25">
      <c r="B25" s="37" t="s">
        <v>88</v>
      </c>
      <c r="C25" s="7"/>
      <c r="E25" s="51">
        <v>35</v>
      </c>
      <c r="F25" s="98">
        <v>8</v>
      </c>
      <c r="G25" s="51">
        <f t="shared" si="6"/>
        <v>43</v>
      </c>
      <c r="H25" s="7"/>
      <c r="I25" s="9">
        <v>12</v>
      </c>
      <c r="J25" s="9">
        <v>14</v>
      </c>
      <c r="K25" s="9">
        <v>11</v>
      </c>
      <c r="L25" s="9">
        <v>14</v>
      </c>
      <c r="M25" s="9">
        <f t="shared" si="7"/>
        <v>51</v>
      </c>
      <c r="N25" s="9"/>
      <c r="O25" s="9">
        <v>12</v>
      </c>
      <c r="P25" s="9">
        <v>12</v>
      </c>
      <c r="Q25" s="9">
        <v>13</v>
      </c>
      <c r="R25" s="9">
        <v>13</v>
      </c>
      <c r="S25" s="9">
        <f t="shared" si="8"/>
        <v>50</v>
      </c>
      <c r="U25" s="9">
        <v>17</v>
      </c>
      <c r="V25" s="9">
        <v>16</v>
      </c>
      <c r="W25" s="9">
        <v>16</v>
      </c>
      <c r="X25" s="9">
        <v>0</v>
      </c>
      <c r="Y25" s="9">
        <f t="shared" si="9"/>
        <v>49</v>
      </c>
    </row>
    <row r="26" spans="2:25" x14ac:dyDescent="0.25">
      <c r="B26" s="37" t="s">
        <v>63</v>
      </c>
      <c r="C26" s="7"/>
      <c r="E26" s="51">
        <v>33</v>
      </c>
      <c r="F26" s="98">
        <f>8</f>
        <v>8</v>
      </c>
      <c r="G26" s="51">
        <f t="shared" ref="G26" si="10">E26+F26</f>
        <v>41</v>
      </c>
      <c r="H26" s="7"/>
      <c r="I26" s="9">
        <v>13</v>
      </c>
      <c r="J26" s="9">
        <v>13</v>
      </c>
      <c r="K26" s="9">
        <v>13</v>
      </c>
      <c r="L26" s="9">
        <v>11</v>
      </c>
      <c r="M26" s="9">
        <f t="shared" si="7"/>
        <v>50</v>
      </c>
      <c r="N26" s="9"/>
      <c r="O26" s="9">
        <v>11</v>
      </c>
      <c r="P26" s="9">
        <v>11</v>
      </c>
      <c r="Q26" s="9">
        <v>10</v>
      </c>
      <c r="R26" s="9">
        <v>11</v>
      </c>
      <c r="S26" s="9">
        <f t="shared" si="8"/>
        <v>43</v>
      </c>
      <c r="U26" s="9">
        <v>12</v>
      </c>
      <c r="V26" s="9">
        <v>11</v>
      </c>
      <c r="W26" s="9">
        <v>12</v>
      </c>
      <c r="X26" s="9">
        <v>0</v>
      </c>
      <c r="Y26" s="9">
        <f t="shared" si="9"/>
        <v>35</v>
      </c>
    </row>
    <row r="27" spans="2:25" x14ac:dyDescent="0.25">
      <c r="B27" s="37" t="s">
        <v>64</v>
      </c>
      <c r="C27" s="7"/>
      <c r="E27" s="51">
        <v>56</v>
      </c>
      <c r="F27" s="98">
        <f>17-8</f>
        <v>9</v>
      </c>
      <c r="G27" s="138">
        <f t="shared" si="6"/>
        <v>65</v>
      </c>
      <c r="H27" s="7"/>
      <c r="I27" s="64">
        <f>30-13</f>
        <v>17</v>
      </c>
      <c r="J27" s="64">
        <f>23-13</f>
        <v>10</v>
      </c>
      <c r="K27" s="64">
        <v>4</v>
      </c>
      <c r="L27" s="64">
        <v>-2</v>
      </c>
      <c r="M27" s="64">
        <f t="shared" si="7"/>
        <v>29</v>
      </c>
      <c r="N27" s="16"/>
      <c r="O27" s="64">
        <v>14</v>
      </c>
      <c r="P27" s="64">
        <v>9</v>
      </c>
      <c r="Q27" s="64">
        <v>5</v>
      </c>
      <c r="R27" s="64">
        <v>20</v>
      </c>
      <c r="S27" s="64">
        <f t="shared" si="8"/>
        <v>48</v>
      </c>
      <c r="U27" s="64">
        <v>13</v>
      </c>
      <c r="V27" s="64">
        <v>21</v>
      </c>
      <c r="W27" s="64">
        <v>28</v>
      </c>
      <c r="X27" s="64">
        <v>0</v>
      </c>
      <c r="Y27" s="64">
        <f t="shared" si="9"/>
        <v>62</v>
      </c>
    </row>
    <row r="28" spans="2:25" x14ac:dyDescent="0.25">
      <c r="B28" s="6" t="s">
        <v>65</v>
      </c>
      <c r="C28" s="7"/>
      <c r="E28" s="129">
        <f>SUM(E17:E27)</f>
        <v>3186</v>
      </c>
      <c r="F28" s="89">
        <f>SUM(F17:F27)</f>
        <v>258</v>
      </c>
      <c r="G28" s="139">
        <f>SUM(G17:G27)</f>
        <v>3444</v>
      </c>
      <c r="H28" s="7"/>
      <c r="I28" s="8">
        <f>SUM(I17:I27)</f>
        <v>436</v>
      </c>
      <c r="J28" s="8">
        <f>SUM(J17:J27)</f>
        <v>394</v>
      </c>
      <c r="K28" s="8">
        <f>SUM(K17:K27)</f>
        <v>468</v>
      </c>
      <c r="L28" s="8">
        <f>SUM(L17:L27)</f>
        <v>422</v>
      </c>
      <c r="M28" s="59">
        <f>SUM(M17:M27)</f>
        <v>1720</v>
      </c>
      <c r="N28" s="16"/>
      <c r="O28" s="8">
        <f>SUM(O17:O27)</f>
        <v>396</v>
      </c>
      <c r="P28" s="8">
        <f>SUM(P17:P27)</f>
        <v>473</v>
      </c>
      <c r="Q28" s="8">
        <f>SUM(Q17:Q27)</f>
        <v>536</v>
      </c>
      <c r="R28" s="8">
        <f>SUM(R17:R27)</f>
        <v>549</v>
      </c>
      <c r="S28" s="59">
        <f>SUM(S17:S27)</f>
        <v>1954</v>
      </c>
      <c r="U28" s="8">
        <f>SUM(U17:U27)</f>
        <v>638</v>
      </c>
      <c r="V28" s="8">
        <f>SUM(V17:V27)</f>
        <v>444</v>
      </c>
      <c r="W28" s="8">
        <f>SUM(W17:W27)</f>
        <v>475</v>
      </c>
      <c r="X28" s="8">
        <f>SUM(X17:X27)</f>
        <v>0</v>
      </c>
      <c r="Y28" s="59">
        <f>SUM(Y17:Y27)</f>
        <v>1557</v>
      </c>
    </row>
    <row r="29" spans="2:25" s="34" customFormat="1" ht="12.5" customHeight="1" x14ac:dyDescent="0.25">
      <c r="B29" s="123" t="s">
        <v>92</v>
      </c>
      <c r="C29" s="116"/>
      <c r="E29" s="65">
        <v>0</v>
      </c>
      <c r="F29" s="124">
        <v>0</v>
      </c>
      <c r="G29" s="65">
        <f t="shared" ref="G29" si="11">E29+F29</f>
        <v>0</v>
      </c>
      <c r="H29" s="116"/>
      <c r="I29" s="65">
        <f>2</f>
        <v>2</v>
      </c>
      <c r="J29" s="65">
        <v>0</v>
      </c>
      <c r="K29" s="65">
        <f>2</f>
        <v>2</v>
      </c>
      <c r="L29" s="65">
        <f>120</f>
        <v>120</v>
      </c>
      <c r="M29" s="65">
        <f t="shared" ref="M29" si="12">+I29+J29+K29+L29</f>
        <v>124</v>
      </c>
      <c r="N29" s="66"/>
      <c r="O29" s="65">
        <v>54</v>
      </c>
      <c r="P29" s="65">
        <v>4</v>
      </c>
      <c r="Q29" s="65">
        <v>2</v>
      </c>
      <c r="R29" s="65">
        <v>-1</v>
      </c>
      <c r="S29" s="65">
        <f t="shared" ref="S29" si="13">+O29+P29+Q29+R29</f>
        <v>59</v>
      </c>
      <c r="U29" s="65">
        <v>7</v>
      </c>
      <c r="V29" s="65">
        <v>0</v>
      </c>
      <c r="W29" s="65">
        <v>0</v>
      </c>
      <c r="X29" s="65">
        <v>0</v>
      </c>
      <c r="Y29" s="65">
        <f t="shared" ref="Y29" si="14">+U29+V29+W29+X29</f>
        <v>7</v>
      </c>
    </row>
    <row r="30" spans="2:25" ht="13" x14ac:dyDescent="0.3">
      <c r="B30" s="1" t="s">
        <v>29</v>
      </c>
      <c r="C30" s="7"/>
      <c r="E30" s="66">
        <f>+E14-E28-E29</f>
        <v>-1779</v>
      </c>
      <c r="F30" s="98">
        <f>+F14-F28-F29</f>
        <v>-106</v>
      </c>
      <c r="G30" s="66">
        <f>+G14-G28+G29</f>
        <v>-1885</v>
      </c>
      <c r="H30" s="7"/>
      <c r="I30" s="16">
        <f>+I14-I28+I29</f>
        <v>-71</v>
      </c>
      <c r="J30" s="16">
        <f>+J14-J28+J29</f>
        <v>-90</v>
      </c>
      <c r="K30" s="16">
        <f>+K14-K28+K29</f>
        <v>122</v>
      </c>
      <c r="L30" s="16">
        <f>+L14-L28+L29</f>
        <v>332</v>
      </c>
      <c r="M30" s="16">
        <f>+M14-M28+M29</f>
        <v>293</v>
      </c>
      <c r="N30" s="16"/>
      <c r="O30" s="16">
        <f>+O14-O28+O29</f>
        <v>-189</v>
      </c>
      <c r="P30" s="16">
        <f>+P14-P28+P29</f>
        <v>278</v>
      </c>
      <c r="Q30" s="16">
        <f>+Q14-Q28+Q29</f>
        <v>591</v>
      </c>
      <c r="R30" s="16">
        <f>+R14-R28+R29</f>
        <v>132</v>
      </c>
      <c r="S30" s="16">
        <f>+S14-S28+S29</f>
        <v>812</v>
      </c>
      <c r="U30" s="16">
        <f>+U14-U28+U29</f>
        <v>393</v>
      </c>
      <c r="V30" s="16">
        <f>+V14-V28+V29</f>
        <v>147</v>
      </c>
      <c r="W30" s="16">
        <f>+W14-W28+W29</f>
        <v>-15</v>
      </c>
      <c r="X30" s="16">
        <f>+X14-X28+X29</f>
        <v>0</v>
      </c>
      <c r="Y30" s="16">
        <f>+Y14-Y28+Y29</f>
        <v>525</v>
      </c>
    </row>
    <row r="31" spans="2:25" ht="4.1500000000000004" customHeight="1" x14ac:dyDescent="0.25">
      <c r="B31" s="6"/>
      <c r="C31" s="7"/>
      <c r="E31" s="58"/>
      <c r="F31" s="95"/>
      <c r="G31" s="58"/>
      <c r="H31" s="7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U31" s="23"/>
      <c r="V31" s="23"/>
      <c r="W31" s="23"/>
      <c r="X31" s="23"/>
      <c r="Y31" s="23"/>
    </row>
    <row r="32" spans="2:25" ht="13.9" customHeight="1" x14ac:dyDescent="0.3">
      <c r="B32" s="1" t="s">
        <v>71</v>
      </c>
      <c r="C32" s="7"/>
      <c r="E32" s="58"/>
      <c r="F32" s="95"/>
      <c r="G32" s="58"/>
      <c r="H32" s="7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U32" s="23"/>
      <c r="V32" s="23"/>
      <c r="W32" s="23"/>
      <c r="X32" s="23"/>
      <c r="Y32" s="23"/>
    </row>
    <row r="33" spans="2:25" ht="13.9" customHeight="1" x14ac:dyDescent="0.25">
      <c r="B33" s="63" t="s">
        <v>68</v>
      </c>
      <c r="C33" s="7"/>
      <c r="E33" s="51">
        <v>4060</v>
      </c>
      <c r="F33" s="98">
        <v>-3</v>
      </c>
      <c r="G33" s="51">
        <f t="shared" ref="G33:G38" si="15">E33+F33</f>
        <v>4057</v>
      </c>
      <c r="H33" s="7"/>
      <c r="I33" s="9">
        <v>-2</v>
      </c>
      <c r="J33" s="9">
        <v>-2</v>
      </c>
      <c r="K33" s="9">
        <v>-1</v>
      </c>
      <c r="L33" s="9">
        <v>-1</v>
      </c>
      <c r="M33" s="9">
        <f t="shared" ref="M33:M38" si="16">+I33+J33+K33+L33</f>
        <v>-6</v>
      </c>
      <c r="N33" s="9"/>
      <c r="O33" s="9">
        <v>0</v>
      </c>
      <c r="P33" s="9">
        <v>0</v>
      </c>
      <c r="Q33" s="9">
        <v>0</v>
      </c>
      <c r="R33" s="9">
        <v>0</v>
      </c>
      <c r="S33" s="9">
        <f t="shared" ref="S33:S38" si="17">+O33+P33+Q33+R33</f>
        <v>0</v>
      </c>
      <c r="U33" s="9">
        <v>0</v>
      </c>
      <c r="V33" s="9">
        <v>0</v>
      </c>
      <c r="W33" s="9">
        <v>0</v>
      </c>
      <c r="X33" s="9">
        <v>0</v>
      </c>
      <c r="Y33" s="9">
        <f t="shared" ref="Y33:Y38" si="18">+U33+V33+W33+X33</f>
        <v>0</v>
      </c>
    </row>
    <row r="34" spans="2:25" ht="13.9" customHeight="1" x14ac:dyDescent="0.25">
      <c r="B34" s="63" t="s">
        <v>19</v>
      </c>
      <c r="C34" s="7"/>
      <c r="E34" s="51">
        <v>-206</v>
      </c>
      <c r="F34" s="98">
        <v>-11</v>
      </c>
      <c r="G34" s="51">
        <f t="shared" si="15"/>
        <v>-217</v>
      </c>
      <c r="H34" s="7"/>
      <c r="I34" s="9">
        <v>-13</v>
      </c>
      <c r="J34" s="9">
        <v>-13</v>
      </c>
      <c r="K34" s="9">
        <v>-14</v>
      </c>
      <c r="L34" s="9">
        <v>-14</v>
      </c>
      <c r="M34" s="9">
        <f t="shared" si="16"/>
        <v>-54</v>
      </c>
      <c r="N34" s="9"/>
      <c r="O34" s="9">
        <v>-13</v>
      </c>
      <c r="P34" s="9">
        <v>-13</v>
      </c>
      <c r="Q34" s="9">
        <v>-13</v>
      </c>
      <c r="R34" s="9">
        <v>-14</v>
      </c>
      <c r="S34" s="9">
        <f t="shared" si="17"/>
        <v>-53</v>
      </c>
      <c r="U34" s="9">
        <v>-14</v>
      </c>
      <c r="V34" s="9">
        <v>-14</v>
      </c>
      <c r="W34" s="9">
        <v>-15</v>
      </c>
      <c r="X34" s="9">
        <v>0</v>
      </c>
      <c r="Y34" s="9">
        <f t="shared" si="18"/>
        <v>-43</v>
      </c>
    </row>
    <row r="35" spans="2:25" ht="13.9" customHeight="1" x14ac:dyDescent="0.25">
      <c r="B35" s="63" t="s">
        <v>86</v>
      </c>
      <c r="C35" s="7"/>
      <c r="E35" s="51"/>
      <c r="F35" s="98"/>
      <c r="G35" s="51"/>
      <c r="H35" s="7"/>
      <c r="I35" s="9"/>
      <c r="J35" s="9"/>
      <c r="K35" s="9"/>
      <c r="L35" s="9"/>
      <c r="M35" s="9"/>
      <c r="N35" s="9"/>
      <c r="O35" s="9">
        <v>0</v>
      </c>
      <c r="P35" s="9">
        <v>0</v>
      </c>
      <c r="Q35" s="9">
        <v>0</v>
      </c>
      <c r="R35" s="9">
        <v>-1</v>
      </c>
      <c r="S35" s="9">
        <f t="shared" ref="S35" si="19">+O35+P35+Q35+R35</f>
        <v>-1</v>
      </c>
      <c r="U35" s="9">
        <v>-2</v>
      </c>
      <c r="V35" s="9">
        <v>-1</v>
      </c>
      <c r="W35" s="9">
        <v>-3</v>
      </c>
      <c r="X35" s="9">
        <v>0</v>
      </c>
      <c r="Y35" s="9">
        <f t="shared" si="18"/>
        <v>-6</v>
      </c>
    </row>
    <row r="36" spans="2:25" ht="13.9" customHeight="1" x14ac:dyDescent="0.25">
      <c r="B36" s="63" t="s">
        <v>58</v>
      </c>
      <c r="C36" s="7"/>
      <c r="E36" s="51">
        <v>5</v>
      </c>
      <c r="F36" s="98">
        <v>0</v>
      </c>
      <c r="G36" s="51">
        <f t="shared" si="15"/>
        <v>5</v>
      </c>
      <c r="H36" s="7"/>
      <c r="I36" s="9">
        <v>-2</v>
      </c>
      <c r="J36" s="9">
        <v>0</v>
      </c>
      <c r="K36" s="9">
        <v>0</v>
      </c>
      <c r="L36" s="9">
        <v>0</v>
      </c>
      <c r="M36" s="9">
        <f t="shared" si="16"/>
        <v>-2</v>
      </c>
      <c r="N36" s="9"/>
      <c r="O36" s="9">
        <v>0</v>
      </c>
      <c r="P36" s="9">
        <v>0</v>
      </c>
      <c r="Q36" s="9">
        <v>0</v>
      </c>
      <c r="R36" s="9">
        <v>0</v>
      </c>
      <c r="S36" s="9">
        <f t="shared" si="17"/>
        <v>0</v>
      </c>
      <c r="U36" s="9">
        <v>0</v>
      </c>
      <c r="V36" s="9">
        <v>0</v>
      </c>
      <c r="W36" s="9">
        <v>0</v>
      </c>
      <c r="X36" s="9">
        <v>0</v>
      </c>
      <c r="Y36" s="9">
        <f t="shared" si="18"/>
        <v>0</v>
      </c>
    </row>
    <row r="37" spans="2:25" ht="13.9" hidden="1" customHeight="1" x14ac:dyDescent="0.25">
      <c r="B37" s="63"/>
      <c r="C37" s="7"/>
      <c r="E37" s="51">
        <v>0</v>
      </c>
      <c r="F37" s="98"/>
      <c r="G37" s="51">
        <f t="shared" si="15"/>
        <v>0</v>
      </c>
      <c r="H37" s="7"/>
      <c r="I37" s="9">
        <v>0</v>
      </c>
      <c r="J37" s="9">
        <v>0</v>
      </c>
      <c r="K37" s="9">
        <v>0</v>
      </c>
      <c r="L37" s="9">
        <v>0</v>
      </c>
      <c r="M37" s="51">
        <f t="shared" si="16"/>
        <v>0</v>
      </c>
      <c r="N37" s="51"/>
      <c r="O37" s="9">
        <v>0</v>
      </c>
      <c r="P37" s="9">
        <v>0</v>
      </c>
      <c r="Q37" s="9">
        <v>0</v>
      </c>
      <c r="R37" s="9">
        <v>0</v>
      </c>
      <c r="S37" s="51">
        <f t="shared" si="17"/>
        <v>0</v>
      </c>
      <c r="U37" s="9">
        <v>0</v>
      </c>
      <c r="V37" s="9">
        <v>0</v>
      </c>
      <c r="W37" s="9">
        <v>0</v>
      </c>
      <c r="X37" s="9">
        <v>0</v>
      </c>
      <c r="Y37" s="51">
        <f t="shared" si="18"/>
        <v>0</v>
      </c>
    </row>
    <row r="38" spans="2:25" ht="13.9" customHeight="1" x14ac:dyDescent="0.25">
      <c r="B38" s="63" t="s">
        <v>89</v>
      </c>
      <c r="C38" s="7"/>
      <c r="E38" s="65">
        <v>-84</v>
      </c>
      <c r="F38" s="124">
        <v>-5</v>
      </c>
      <c r="G38" s="65">
        <f t="shared" si="15"/>
        <v>-89</v>
      </c>
      <c r="H38" s="7"/>
      <c r="I38" s="64">
        <f>-1</f>
        <v>-1</v>
      </c>
      <c r="J38" s="64">
        <v>-2</v>
      </c>
      <c r="K38" s="64">
        <v>0</v>
      </c>
      <c r="L38" s="64">
        <v>1</v>
      </c>
      <c r="M38" s="65">
        <f t="shared" si="16"/>
        <v>-2</v>
      </c>
      <c r="N38" s="66"/>
      <c r="O38" s="64">
        <v>1</v>
      </c>
      <c r="P38" s="64">
        <v>1</v>
      </c>
      <c r="Q38" s="64">
        <v>1</v>
      </c>
      <c r="R38" s="64">
        <v>0</v>
      </c>
      <c r="S38" s="65">
        <f t="shared" si="17"/>
        <v>3</v>
      </c>
      <c r="U38" s="64">
        <v>-1</v>
      </c>
      <c r="V38" s="64">
        <v>3</v>
      </c>
      <c r="W38" s="64">
        <v>3</v>
      </c>
      <c r="X38" s="64">
        <v>0</v>
      </c>
      <c r="Y38" s="65">
        <f t="shared" si="18"/>
        <v>5</v>
      </c>
    </row>
    <row r="39" spans="2:25" ht="14.65" customHeight="1" x14ac:dyDescent="0.3">
      <c r="B39" s="1" t="s">
        <v>26</v>
      </c>
      <c r="C39" s="7"/>
      <c r="E39" s="51">
        <f t="shared" ref="E39:G39" si="20">+E30+E33+E34+E36+E38+E37</f>
        <v>1996</v>
      </c>
      <c r="F39" s="98">
        <f t="shared" si="20"/>
        <v>-125</v>
      </c>
      <c r="G39" s="51">
        <f t="shared" si="20"/>
        <v>1871</v>
      </c>
      <c r="H39" s="7"/>
      <c r="I39" s="9">
        <f t="shared" ref="I39:M39" si="21">+I30+I33+I34+I36+I38+I37</f>
        <v>-89</v>
      </c>
      <c r="J39" s="9">
        <f t="shared" si="21"/>
        <v>-107</v>
      </c>
      <c r="K39" s="9">
        <f t="shared" si="21"/>
        <v>107</v>
      </c>
      <c r="L39" s="9">
        <f t="shared" si="21"/>
        <v>318</v>
      </c>
      <c r="M39" s="51">
        <f t="shared" si="21"/>
        <v>229</v>
      </c>
      <c r="N39" s="9"/>
      <c r="O39" s="9">
        <f>+O30+O33+O34+O35+O36+O38+O37</f>
        <v>-201</v>
      </c>
      <c r="P39" s="9">
        <f t="shared" ref="P39:S39" si="22">+P30+P33+P34+P35+P36+P38+P37</f>
        <v>266</v>
      </c>
      <c r="Q39" s="9">
        <f t="shared" si="22"/>
        <v>579</v>
      </c>
      <c r="R39" s="9">
        <f t="shared" si="22"/>
        <v>117</v>
      </c>
      <c r="S39" s="9">
        <f t="shared" si="22"/>
        <v>761</v>
      </c>
      <c r="U39" s="9">
        <f>+U30+U33+U34+U35+U36+U38+U37</f>
        <v>376</v>
      </c>
      <c r="V39" s="9">
        <f t="shared" ref="V39:Y39" si="23">+V30+V33+V34+V35+V36+V38+V37</f>
        <v>135</v>
      </c>
      <c r="W39" s="9">
        <f t="shared" si="23"/>
        <v>-30</v>
      </c>
      <c r="X39" s="9">
        <f t="shared" si="23"/>
        <v>0</v>
      </c>
      <c r="Y39" s="9">
        <f t="shared" si="23"/>
        <v>481</v>
      </c>
    </row>
    <row r="40" spans="2:25" ht="14.65" customHeight="1" x14ac:dyDescent="0.25">
      <c r="B40" s="37" t="s">
        <v>69</v>
      </c>
      <c r="C40" s="7"/>
      <c r="E40" s="65">
        <v>0</v>
      </c>
      <c r="F40" s="124">
        <v>0</v>
      </c>
      <c r="G40" s="51">
        <f t="shared" ref="G40" si="24">E40+F40</f>
        <v>0</v>
      </c>
      <c r="H40" s="7"/>
      <c r="I40" s="9">
        <v>0</v>
      </c>
      <c r="J40" s="9">
        <v>0</v>
      </c>
      <c r="K40" s="9">
        <v>0</v>
      </c>
      <c r="L40" s="9">
        <v>396</v>
      </c>
      <c r="M40" s="51">
        <f t="shared" ref="M40" si="25">+I40+J40+K40+L40</f>
        <v>396</v>
      </c>
      <c r="N40" s="51"/>
      <c r="O40" s="9">
        <v>26</v>
      </c>
      <c r="P40" s="9">
        <v>-76</v>
      </c>
      <c r="Q40" s="9">
        <v>-153</v>
      </c>
      <c r="R40" s="9">
        <v>-34</v>
      </c>
      <c r="S40" s="51">
        <f t="shared" ref="S40" si="26">+O40+P40+Q40+R40</f>
        <v>-237</v>
      </c>
      <c r="U40" s="9">
        <v>-75</v>
      </c>
      <c r="V40" s="9">
        <v>-38</v>
      </c>
      <c r="W40" s="9">
        <v>8</v>
      </c>
      <c r="X40" s="9">
        <v>0</v>
      </c>
      <c r="Y40" s="51">
        <f t="shared" ref="Y40" si="27">+U40+V40+W40+X40</f>
        <v>-105</v>
      </c>
    </row>
    <row r="41" spans="2:25" s="10" customFormat="1" ht="14.65" customHeight="1" x14ac:dyDescent="0.3">
      <c r="B41" s="1" t="s">
        <v>27</v>
      </c>
      <c r="C41" s="29"/>
      <c r="D41" s="28"/>
      <c r="E41" s="70">
        <f t="shared" ref="E41" si="28">+E39+E40</f>
        <v>1996</v>
      </c>
      <c r="F41" s="99">
        <f t="shared" ref="F41" si="29">+F39+F40</f>
        <v>-125</v>
      </c>
      <c r="G41" s="70">
        <f>+G39+G40</f>
        <v>1871</v>
      </c>
      <c r="H41" s="7"/>
      <c r="I41" s="17">
        <f>+I39+I40</f>
        <v>-89</v>
      </c>
      <c r="J41" s="17">
        <f>+J39+J40</f>
        <v>-107</v>
      </c>
      <c r="K41" s="17">
        <f>+K39+K40</f>
        <v>107</v>
      </c>
      <c r="L41" s="17">
        <f>+L39+L40</f>
        <v>714</v>
      </c>
      <c r="M41" s="17">
        <f t="shared" ref="M41" si="30">+M39+M40</f>
        <v>625</v>
      </c>
      <c r="N41" s="16"/>
      <c r="O41" s="17">
        <f>+O39+O40</f>
        <v>-175</v>
      </c>
      <c r="P41" s="17">
        <f>+P39+P40</f>
        <v>190</v>
      </c>
      <c r="Q41" s="17">
        <f>+Q39+Q40</f>
        <v>426</v>
      </c>
      <c r="R41" s="17">
        <f>+R39+R40</f>
        <v>83</v>
      </c>
      <c r="S41" s="17">
        <f t="shared" ref="S41" si="31">+S39+S40</f>
        <v>524</v>
      </c>
      <c r="U41" s="17">
        <f>+U39+U40</f>
        <v>301</v>
      </c>
      <c r="V41" s="17">
        <f>+V39+V40</f>
        <v>97</v>
      </c>
      <c r="W41" s="17">
        <f>+W39+W40</f>
        <v>-22</v>
      </c>
      <c r="X41" s="17">
        <f>+X39+X40</f>
        <v>0</v>
      </c>
      <c r="Y41" s="17">
        <f t="shared" ref="Y41" si="32">+Y39+Y40</f>
        <v>376</v>
      </c>
    </row>
    <row r="42" spans="2:25" s="10" customFormat="1" ht="3.65" customHeight="1" x14ac:dyDescent="0.3">
      <c r="B42" s="1"/>
      <c r="C42" s="29"/>
      <c r="D42" s="28"/>
      <c r="E42" s="66"/>
      <c r="F42" s="98"/>
      <c r="G42" s="66"/>
      <c r="H42" s="7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U42" s="16"/>
      <c r="V42" s="16"/>
      <c r="W42" s="16"/>
      <c r="X42" s="16"/>
      <c r="Y42" s="16"/>
    </row>
    <row r="43" spans="2:25" s="10" customFormat="1" ht="14.65" customHeight="1" x14ac:dyDescent="0.3">
      <c r="B43" s="80" t="s">
        <v>42</v>
      </c>
      <c r="C43" s="29"/>
      <c r="D43" s="28"/>
      <c r="E43" s="53"/>
      <c r="F43" s="130"/>
      <c r="G43" s="53"/>
      <c r="H43" s="7"/>
      <c r="I43" s="16"/>
      <c r="J43" s="39"/>
      <c r="K43" s="39"/>
      <c r="L43" s="39"/>
      <c r="M43" s="16"/>
      <c r="N43" s="16"/>
      <c r="O43" s="16"/>
      <c r="P43" s="39"/>
      <c r="Q43" s="39"/>
      <c r="R43" s="39"/>
      <c r="S43" s="16"/>
      <c r="T43" s="67"/>
      <c r="U43" s="16"/>
      <c r="V43" s="39"/>
      <c r="W43" s="39"/>
      <c r="X43" s="39"/>
      <c r="Y43" s="16"/>
    </row>
    <row r="44" spans="2:25" s="10" customFormat="1" ht="14.65" customHeight="1" x14ac:dyDescent="0.3">
      <c r="B44" s="69" t="s">
        <v>41</v>
      </c>
      <c r="C44" s="29"/>
      <c r="D44" s="28"/>
      <c r="E44" s="51">
        <v>-94</v>
      </c>
      <c r="F44" s="98">
        <v>0</v>
      </c>
      <c r="G44" s="51">
        <f t="shared" ref="G44:G45" si="33">E44+F44</f>
        <v>-94</v>
      </c>
      <c r="H44" s="7"/>
      <c r="I44" s="16">
        <v>0</v>
      </c>
      <c r="J44" s="39">
        <v>0</v>
      </c>
      <c r="K44" s="39">
        <v>0</v>
      </c>
      <c r="L44" s="39">
        <v>0</v>
      </c>
      <c r="M44" s="9">
        <f t="shared" ref="M44" si="34">+I44+J44+K44+L44</f>
        <v>0</v>
      </c>
      <c r="N44" s="9"/>
      <c r="O44" s="16">
        <v>0</v>
      </c>
      <c r="P44" s="39">
        <v>0</v>
      </c>
      <c r="Q44" s="39">
        <v>0</v>
      </c>
      <c r="R44" s="39">
        <v>0</v>
      </c>
      <c r="S44" s="9">
        <f t="shared" ref="S44:S45" si="35">+O44+P44+Q44+R44</f>
        <v>0</v>
      </c>
      <c r="U44" s="16">
        <v>0</v>
      </c>
      <c r="V44" s="39">
        <v>0</v>
      </c>
      <c r="W44" s="39">
        <v>0</v>
      </c>
      <c r="X44" s="39">
        <v>0</v>
      </c>
      <c r="Y44" s="9">
        <f t="shared" ref="Y44:Y45" si="36">+U44+V44+W44+X44</f>
        <v>0</v>
      </c>
    </row>
    <row r="45" spans="2:25" s="10" customFormat="1" ht="14.65" customHeight="1" x14ac:dyDescent="0.3">
      <c r="B45" s="69" t="s">
        <v>70</v>
      </c>
      <c r="C45" s="29"/>
      <c r="D45" s="28"/>
      <c r="E45" s="65">
        <v>-13</v>
      </c>
      <c r="F45" s="124">
        <v>2</v>
      </c>
      <c r="G45" s="65">
        <f t="shared" si="33"/>
        <v>-11</v>
      </c>
      <c r="H45" s="7"/>
      <c r="I45" s="64">
        <v>-5</v>
      </c>
      <c r="J45" s="78">
        <v>-4</v>
      </c>
      <c r="K45" s="78">
        <v>-4</v>
      </c>
      <c r="L45" s="78">
        <v>0</v>
      </c>
      <c r="M45" s="9">
        <f t="shared" ref="M45" si="37">+I45+J45+K45+L45</f>
        <v>-13</v>
      </c>
      <c r="N45" s="9"/>
      <c r="O45" s="64">
        <v>0</v>
      </c>
      <c r="P45" s="78">
        <v>0</v>
      </c>
      <c r="Q45" s="78">
        <v>0</v>
      </c>
      <c r="R45" s="78">
        <v>0</v>
      </c>
      <c r="S45" s="9">
        <f t="shared" si="35"/>
        <v>0</v>
      </c>
      <c r="U45" s="64">
        <v>0</v>
      </c>
      <c r="V45" s="78">
        <v>0</v>
      </c>
      <c r="W45" s="78">
        <v>0</v>
      </c>
      <c r="X45" s="78">
        <v>0</v>
      </c>
      <c r="Y45" s="9">
        <f t="shared" si="36"/>
        <v>0</v>
      </c>
    </row>
    <row r="46" spans="2:25" s="10" customFormat="1" ht="14.65" customHeight="1" x14ac:dyDescent="0.3">
      <c r="B46" s="69" t="s">
        <v>43</v>
      </c>
      <c r="C46" s="29"/>
      <c r="D46" s="28"/>
      <c r="E46" s="66">
        <f t="shared" ref="E46" si="38">SUM(E44:E45)</f>
        <v>-107</v>
      </c>
      <c r="F46" s="98">
        <f t="shared" ref="F46" si="39">SUM(F44:F45)</f>
        <v>2</v>
      </c>
      <c r="G46" s="66">
        <f>SUM(G44:G45)</f>
        <v>-105</v>
      </c>
      <c r="H46" s="7"/>
      <c r="I46" s="16">
        <f>SUM(I44:I45)</f>
        <v>-5</v>
      </c>
      <c r="J46" s="16">
        <f>SUM(J44:J45)</f>
        <v>-4</v>
      </c>
      <c r="K46" s="16">
        <f>SUM(K44:K45)</f>
        <v>-4</v>
      </c>
      <c r="L46" s="16">
        <f>SUM(L44:L45)</f>
        <v>0</v>
      </c>
      <c r="M46" s="17">
        <f>SUM(M44:M45)</f>
        <v>-13</v>
      </c>
      <c r="N46" s="16"/>
      <c r="O46" s="16">
        <f>SUM(O44:O45)</f>
        <v>0</v>
      </c>
      <c r="P46" s="16">
        <f>SUM(P44:P45)</f>
        <v>0</v>
      </c>
      <c r="Q46" s="16">
        <f>SUM(Q44:Q45)</f>
        <v>0</v>
      </c>
      <c r="R46" s="16">
        <f>SUM(R44:R45)</f>
        <v>0</v>
      </c>
      <c r="S46" s="17">
        <f>SUM(S44:S45)</f>
        <v>0</v>
      </c>
      <c r="U46" s="16">
        <f>SUM(U44:U45)</f>
        <v>0</v>
      </c>
      <c r="V46" s="16">
        <f>SUM(V44:V45)</f>
        <v>0</v>
      </c>
      <c r="W46" s="16">
        <f>SUM(W44:W45)</f>
        <v>0</v>
      </c>
      <c r="X46" s="16">
        <f>SUM(X44:X45)</f>
        <v>0</v>
      </c>
      <c r="Y46" s="17">
        <f>SUM(Y44:Y45)</f>
        <v>0</v>
      </c>
    </row>
    <row r="47" spans="2:25" s="10" customFormat="1" ht="4.1500000000000004" customHeight="1" x14ac:dyDescent="0.3">
      <c r="B47" s="69"/>
      <c r="C47" s="29"/>
      <c r="D47" s="28"/>
      <c r="E47" s="53"/>
      <c r="F47" s="130"/>
      <c r="G47" s="53"/>
      <c r="H47" s="7"/>
      <c r="I47" s="16"/>
      <c r="J47" s="39"/>
      <c r="K47" s="39"/>
      <c r="L47" s="39"/>
      <c r="M47" s="16"/>
      <c r="N47" s="16"/>
      <c r="O47" s="16"/>
      <c r="P47" s="39"/>
      <c r="Q47" s="39"/>
      <c r="R47" s="39"/>
      <c r="S47" s="16"/>
      <c r="U47" s="16"/>
      <c r="V47" s="39"/>
      <c r="W47" s="39"/>
      <c r="X47" s="39"/>
      <c r="Y47" s="16"/>
    </row>
    <row r="48" spans="2:25" ht="14.65" customHeight="1" thickBot="1" x14ac:dyDescent="0.35">
      <c r="B48" s="1" t="s">
        <v>28</v>
      </c>
      <c r="E48" s="131">
        <f t="shared" ref="E48:F48" si="40">+E41+E46</f>
        <v>1889</v>
      </c>
      <c r="F48" s="132">
        <f t="shared" si="40"/>
        <v>-123</v>
      </c>
      <c r="G48" s="131">
        <f>+G41+G46</f>
        <v>1766</v>
      </c>
      <c r="H48" s="7"/>
      <c r="I48" s="68">
        <f>+I41+I46</f>
        <v>-94</v>
      </c>
      <c r="J48" s="68">
        <f>+J41+J46</f>
        <v>-111</v>
      </c>
      <c r="K48" s="68">
        <f>+K41+K46</f>
        <v>103</v>
      </c>
      <c r="L48" s="68">
        <f>+L41+L46</f>
        <v>714</v>
      </c>
      <c r="M48" s="68">
        <f>+M41+M46</f>
        <v>612</v>
      </c>
      <c r="N48" s="15"/>
      <c r="O48" s="68">
        <f>+O41+O46</f>
        <v>-175</v>
      </c>
      <c r="P48" s="68">
        <f>+P41+P46</f>
        <v>190</v>
      </c>
      <c r="Q48" s="68">
        <f>+Q41+Q46</f>
        <v>426</v>
      </c>
      <c r="R48" s="68">
        <f>+R41+R46</f>
        <v>83</v>
      </c>
      <c r="S48" s="68">
        <f>+S41+S46</f>
        <v>524</v>
      </c>
      <c r="U48" s="68">
        <f>+U41+U46</f>
        <v>301</v>
      </c>
      <c r="V48" s="68">
        <f>+V41+V46</f>
        <v>97</v>
      </c>
      <c r="W48" s="68">
        <f>+W41+W46</f>
        <v>-22</v>
      </c>
      <c r="X48" s="68">
        <f>+X41+X46</f>
        <v>0</v>
      </c>
      <c r="Y48" s="68">
        <f>+Y41+Y46</f>
        <v>376</v>
      </c>
    </row>
    <row r="49" spans="1:25" ht="13" thickTop="1" x14ac:dyDescent="0.25">
      <c r="C49" s="11"/>
      <c r="F49" s="90"/>
      <c r="K49" s="34"/>
      <c r="Q49" s="34"/>
      <c r="W49" s="34"/>
    </row>
    <row r="50" spans="1:25" x14ac:dyDescent="0.25">
      <c r="C50" s="11"/>
      <c r="F50" s="90"/>
      <c r="K50" s="34"/>
      <c r="Q50" s="34"/>
      <c r="W50" s="34"/>
    </row>
    <row r="51" spans="1:25" x14ac:dyDescent="0.25">
      <c r="C51" s="11"/>
      <c r="F51" s="90"/>
      <c r="K51" s="34"/>
      <c r="Q51" s="34"/>
      <c r="W51" s="34"/>
    </row>
    <row r="52" spans="1:25" x14ac:dyDescent="0.25">
      <c r="B52" s="37" t="s">
        <v>72</v>
      </c>
      <c r="C52" s="11"/>
      <c r="E52" s="116">
        <f>E9</f>
        <v>1092</v>
      </c>
      <c r="F52" s="117">
        <f>F9</f>
        <v>237</v>
      </c>
      <c r="G52" s="116">
        <f>G9</f>
        <v>1329</v>
      </c>
      <c r="I52" s="7">
        <f>I9</f>
        <v>432</v>
      </c>
      <c r="J52" s="7">
        <f>J9</f>
        <v>478</v>
      </c>
      <c r="K52" s="116">
        <f>K9</f>
        <v>549</v>
      </c>
      <c r="L52" s="7">
        <f>L9</f>
        <v>589</v>
      </c>
      <c r="M52" s="7">
        <f>M9</f>
        <v>2048</v>
      </c>
      <c r="N52" s="7"/>
      <c r="O52" s="7">
        <f>O9</f>
        <v>628</v>
      </c>
      <c r="P52" s="7">
        <f>P9</f>
        <v>718</v>
      </c>
      <c r="Q52" s="116">
        <f>Q9</f>
        <v>680</v>
      </c>
      <c r="R52" s="7">
        <f>R9</f>
        <v>617</v>
      </c>
      <c r="S52" s="7">
        <f>S9</f>
        <v>2643</v>
      </c>
      <c r="U52" s="7">
        <f>U9</f>
        <v>715</v>
      </c>
      <c r="V52" s="7">
        <f>V9</f>
        <v>447</v>
      </c>
      <c r="W52" s="116">
        <f>W9</f>
        <v>510</v>
      </c>
      <c r="X52" s="7">
        <f>X9</f>
        <v>0</v>
      </c>
      <c r="Y52" s="7">
        <f>Y9</f>
        <v>1672</v>
      </c>
    </row>
    <row r="53" spans="1:25" x14ac:dyDescent="0.25">
      <c r="B53" t="s">
        <v>73</v>
      </c>
      <c r="C53" s="11"/>
      <c r="E53" s="118">
        <v>108</v>
      </c>
      <c r="F53" s="100">
        <v>-1</v>
      </c>
      <c r="G53" s="118">
        <f>E53+F53</f>
        <v>107</v>
      </c>
      <c r="H53" s="20"/>
      <c r="I53" s="20">
        <v>-39</v>
      </c>
      <c r="J53" s="20">
        <v>-82</v>
      </c>
      <c r="K53" s="118">
        <v>-99</v>
      </c>
      <c r="L53" s="20">
        <v>-99</v>
      </c>
      <c r="M53" s="20">
        <f>SUM(I53:L53)</f>
        <v>-319</v>
      </c>
      <c r="N53" s="20"/>
      <c r="O53" s="20">
        <v>-181</v>
      </c>
      <c r="P53" s="118">
        <v>-241</v>
      </c>
      <c r="Q53" s="118">
        <v>-182</v>
      </c>
      <c r="R53" s="118">
        <v>-134</v>
      </c>
      <c r="S53" s="20">
        <f>SUM(O53:R53)</f>
        <v>-738</v>
      </c>
      <c r="U53" s="118">
        <f>-65</f>
        <v>-65</v>
      </c>
      <c r="V53" s="118">
        <v>-63</v>
      </c>
      <c r="W53" s="118">
        <v>-95</v>
      </c>
      <c r="X53" s="118">
        <v>0</v>
      </c>
      <c r="Y53" s="20">
        <f>SUM(U53:X53)</f>
        <v>-223</v>
      </c>
    </row>
    <row r="54" spans="1:25" ht="13" thickBot="1" x14ac:dyDescent="0.3">
      <c r="B54" t="s">
        <v>74</v>
      </c>
      <c r="C54" s="11"/>
      <c r="E54" s="131">
        <f>SUM(E52:E53)</f>
        <v>1200</v>
      </c>
      <c r="F54" s="132">
        <f>SUM(F52:F53)</f>
        <v>236</v>
      </c>
      <c r="G54" s="131">
        <f>SUM(G52:G53)</f>
        <v>1436</v>
      </c>
      <c r="I54" s="68">
        <f t="shared" ref="I54" si="41">SUM(I52:I53)</f>
        <v>393</v>
      </c>
      <c r="J54" s="68">
        <f t="shared" ref="J54" si="42">SUM(J52:J53)</f>
        <v>396</v>
      </c>
      <c r="K54" s="68">
        <f t="shared" ref="K54" si="43">SUM(K52:K53)</f>
        <v>450</v>
      </c>
      <c r="L54" s="68">
        <f t="shared" ref="L54" si="44">SUM(L52:L53)</f>
        <v>490</v>
      </c>
      <c r="M54" s="68">
        <f t="shared" ref="M54" si="45">SUM(M52:M53)</f>
        <v>1729</v>
      </c>
      <c r="N54" s="15"/>
      <c r="O54" s="68">
        <f t="shared" ref="O54:S54" si="46">SUM(O52:O53)</f>
        <v>447</v>
      </c>
      <c r="P54" s="68">
        <f t="shared" si="46"/>
        <v>477</v>
      </c>
      <c r="Q54" s="68">
        <f t="shared" si="46"/>
        <v>498</v>
      </c>
      <c r="R54" s="68">
        <f t="shared" si="46"/>
        <v>483</v>
      </c>
      <c r="S54" s="68">
        <f t="shared" si="46"/>
        <v>1905</v>
      </c>
      <c r="U54" s="68">
        <f t="shared" ref="U54:Y54" si="47">SUM(U52:U53)</f>
        <v>650</v>
      </c>
      <c r="V54" s="68">
        <f t="shared" si="47"/>
        <v>384</v>
      </c>
      <c r="W54" s="68">
        <f t="shared" si="47"/>
        <v>415</v>
      </c>
      <c r="X54" s="68">
        <f t="shared" si="47"/>
        <v>0</v>
      </c>
      <c r="Y54" s="68">
        <f t="shared" si="47"/>
        <v>1449</v>
      </c>
    </row>
    <row r="55" spans="1:25" ht="13.5" thickTop="1" x14ac:dyDescent="0.3">
      <c r="F55" s="90"/>
      <c r="I55" s="10"/>
      <c r="J55" s="10"/>
      <c r="K55" s="34"/>
      <c r="O55" s="10"/>
      <c r="P55" s="10"/>
      <c r="Q55" s="34"/>
      <c r="U55" s="10"/>
      <c r="V55" s="10"/>
      <c r="W55" s="34"/>
    </row>
    <row r="56" spans="1:25" ht="16" thickBot="1" x14ac:dyDescent="0.4">
      <c r="B56" s="24" t="s">
        <v>35</v>
      </c>
      <c r="C56" s="26"/>
      <c r="D56" s="41"/>
      <c r="E56" s="41"/>
      <c r="F56" s="96"/>
      <c r="G56" s="41"/>
      <c r="I56" s="26"/>
      <c r="J56" s="26"/>
      <c r="K56" s="41"/>
      <c r="L56" s="26"/>
      <c r="M56" s="26"/>
      <c r="N56" s="11"/>
      <c r="O56" s="26"/>
      <c r="P56" s="26"/>
      <c r="Q56" s="41"/>
      <c r="R56" s="26"/>
      <c r="S56" s="26"/>
      <c r="T56" s="11"/>
      <c r="U56" s="26"/>
      <c r="V56" s="26"/>
      <c r="W56" s="41"/>
      <c r="X56" s="26"/>
      <c r="Y56" s="26"/>
    </row>
    <row r="57" spans="1:25" ht="4.5" customHeight="1" thickTop="1" x14ac:dyDescent="0.35">
      <c r="B57" s="47"/>
      <c r="C57" s="11"/>
      <c r="D57" s="48"/>
      <c r="F57" s="90"/>
      <c r="I57" s="11"/>
      <c r="J57" s="11"/>
      <c r="K57" s="48"/>
      <c r="L57" s="11"/>
      <c r="M57" s="11"/>
      <c r="N57" s="11"/>
      <c r="O57" s="11"/>
      <c r="P57" s="11"/>
      <c r="Q57" s="48"/>
      <c r="R57" s="11"/>
      <c r="S57" s="11"/>
      <c r="U57" s="11"/>
      <c r="V57" s="11"/>
      <c r="W57" s="48"/>
      <c r="X57" s="11"/>
      <c r="Y57" s="11"/>
    </row>
    <row r="58" spans="1:25" ht="15.5" x14ac:dyDescent="0.35">
      <c r="B58" s="47"/>
      <c r="C58" s="11"/>
      <c r="E58" s="87" t="s">
        <v>48</v>
      </c>
      <c r="F58" s="105" t="s">
        <v>49</v>
      </c>
      <c r="G58" s="87" t="s">
        <v>47</v>
      </c>
      <c r="I58" s="31" t="str">
        <f>+I7</f>
        <v>1Q 2021</v>
      </c>
      <c r="J58" s="31" t="str">
        <f>+J7</f>
        <v>2Q 2021</v>
      </c>
      <c r="K58" s="31" t="str">
        <f>+K7</f>
        <v>3Q 2021</v>
      </c>
      <c r="L58" s="31" t="str">
        <f>+L7</f>
        <v>4Q 2021</v>
      </c>
      <c r="M58" s="31" t="str">
        <f>+M7</f>
        <v>Total</v>
      </c>
      <c r="N58" s="83"/>
      <c r="O58" s="31" t="str">
        <f>+O7</f>
        <v>1Q 2022</v>
      </c>
      <c r="P58" s="31" t="str">
        <f>+P7</f>
        <v>2Q 2022</v>
      </c>
      <c r="Q58" s="31" t="str">
        <f>+Q7</f>
        <v>3Q 2022</v>
      </c>
      <c r="R58" s="31" t="str">
        <f>+R7</f>
        <v>4Q 2022</v>
      </c>
      <c r="S58" s="31" t="str">
        <f>+S7</f>
        <v>Total</v>
      </c>
      <c r="U58" s="31" t="str">
        <f>+U7</f>
        <v>1Q 2023</v>
      </c>
      <c r="V58" s="31" t="str">
        <f>+V7</f>
        <v>2Q 2023</v>
      </c>
      <c r="W58" s="31" t="str">
        <f>+W7</f>
        <v>3Q 2023</v>
      </c>
      <c r="X58" s="31" t="str">
        <f>+X7</f>
        <v>4Q 2023</v>
      </c>
      <c r="Y58" s="31" t="str">
        <f>+Y7</f>
        <v>Total</v>
      </c>
    </row>
    <row r="59" spans="1:25" ht="13" x14ac:dyDescent="0.3">
      <c r="A59" t="s">
        <v>20</v>
      </c>
      <c r="B59" s="1" t="s">
        <v>45</v>
      </c>
      <c r="C59" s="2"/>
      <c r="F59" s="90"/>
      <c r="K59" s="34"/>
      <c r="Q59" s="34"/>
      <c r="W59" s="34"/>
    </row>
    <row r="60" spans="1:25" x14ac:dyDescent="0.25">
      <c r="B60" s="37" t="s">
        <v>72</v>
      </c>
      <c r="C60" s="7"/>
      <c r="E60" s="57">
        <f>E9/(E114)*1000</f>
        <v>31.941031941031941</v>
      </c>
      <c r="F60" s="133">
        <f>F9/(F114)*1000</f>
        <v>37.811104020421183</v>
      </c>
      <c r="G60" s="57">
        <f>G9/(G114)*1000</f>
        <v>32.851316277345198</v>
      </c>
      <c r="H60" s="7"/>
      <c r="I60" s="43">
        <f>I9/(I114)*1000</f>
        <v>48.273550117331546</v>
      </c>
      <c r="J60" s="43">
        <f>J9/(J114)*1000</f>
        <v>52.263284495954515</v>
      </c>
      <c r="K60" s="43">
        <f>K9/(K114)*1000</f>
        <v>58.603757472245945</v>
      </c>
      <c r="L60" s="43">
        <f>ROUND(L9/(L114)*1000,2)</f>
        <v>66.19</v>
      </c>
      <c r="M60" s="43">
        <f>M9/(M114)*1000</f>
        <v>56.320985617248304</v>
      </c>
      <c r="N60" s="43"/>
      <c r="O60" s="43">
        <f>O9/(O114)*1000+0.01</f>
        <v>78.92430007539582</v>
      </c>
      <c r="P60" s="43">
        <f>P9/(P114)*1000</f>
        <v>86.631274131274125</v>
      </c>
      <c r="Q60" s="43">
        <f>Q9/(Q114)*1000</f>
        <v>80.292832683906013</v>
      </c>
      <c r="R60" s="43">
        <f>ROUND(R9/(R114)*1000,2)</f>
        <v>73.97</v>
      </c>
      <c r="S60" s="43">
        <f>S9/(S114)*1000</f>
        <v>79.954018120490673</v>
      </c>
      <c r="U60" s="43">
        <f>U9/(U114)*1000</f>
        <v>88.974614235938276</v>
      </c>
      <c r="V60" s="43">
        <f>V9/(V114)*1000</f>
        <v>56.988629047371958</v>
      </c>
      <c r="W60" s="43">
        <f>W9/(W114)*1000</f>
        <v>64.935064935064929</v>
      </c>
      <c r="X60" s="43">
        <f>ROUND(X9/(X114)*1000,2)</f>
        <v>0</v>
      </c>
      <c r="Y60" s="43">
        <f>Y9/(Y114)*1000</f>
        <v>70.448438860469182</v>
      </c>
    </row>
    <row r="61" spans="1:25" x14ac:dyDescent="0.25">
      <c r="B61" s="37" t="s">
        <v>66</v>
      </c>
      <c r="C61" s="7"/>
      <c r="E61" s="134">
        <f t="shared" ref="E61:G63" si="48">E10/(E$114)*1000</f>
        <v>2.6617526617526615</v>
      </c>
      <c r="F61" s="91">
        <f t="shared" si="48"/>
        <v>-22.49521378430121</v>
      </c>
      <c r="G61" s="134">
        <f t="shared" si="48"/>
        <v>-1.2359411692003459</v>
      </c>
      <c r="H61" s="7"/>
      <c r="I61" s="62">
        <f t="shared" ref="I61:K63" si="49">I10/(I$114)*1000</f>
        <v>-23.80154207173986</v>
      </c>
      <c r="J61" s="62">
        <f t="shared" si="49"/>
        <v>-28.974415044828341</v>
      </c>
      <c r="K61" s="62">
        <f t="shared" si="49"/>
        <v>-13.34329632792485</v>
      </c>
      <c r="L61" s="62">
        <f t="shared" ref="L61" si="50">L10/(L$114)*1000</f>
        <v>-8.2031688953815038</v>
      </c>
      <c r="M61" s="62">
        <f>M10/(M$114)*1000</f>
        <v>-18.590325330693286</v>
      </c>
      <c r="N61" s="62"/>
      <c r="O61" s="62">
        <f>O10/(O$114)*1000</f>
        <v>-70.620758984669521</v>
      </c>
      <c r="P61" s="62">
        <f>P10/(P$114)*1000</f>
        <v>-12.065637065637066</v>
      </c>
      <c r="Q61" s="62">
        <f>Q10/(Q$114)*1000</f>
        <v>28.692879914984058</v>
      </c>
      <c r="R61" s="62">
        <f>R10/(R$114)*1000</f>
        <v>-15.824491997842115</v>
      </c>
      <c r="S61" s="62">
        <f>S10/(S$114)*1000</f>
        <v>-16.668431322130292</v>
      </c>
      <c r="U61" s="62">
        <f>U10/(U$114)*1000</f>
        <v>5.2264808362369344</v>
      </c>
      <c r="V61" s="62">
        <f>V10/(V$114)*1000</f>
        <v>3.9522315446723275</v>
      </c>
      <c r="W61" s="62">
        <f>W10/(W$114)*1000</f>
        <v>-25.974025974025977</v>
      </c>
      <c r="X61" s="62">
        <f>X10/(X$114)*1000</f>
        <v>0</v>
      </c>
      <c r="Y61" s="62">
        <f>Y10/(Y$114)*1000</f>
        <v>-5.5195846236372379</v>
      </c>
    </row>
    <row r="62" spans="1:25" x14ac:dyDescent="0.25">
      <c r="B62" s="37" t="s">
        <v>90</v>
      </c>
      <c r="C62" s="7"/>
      <c r="E62" s="134">
        <f t="shared" si="48"/>
        <v>3.627003627003627</v>
      </c>
      <c r="F62" s="91">
        <f t="shared" si="48"/>
        <v>6.062539885130823</v>
      </c>
      <c r="G62" s="134">
        <f t="shared" si="48"/>
        <v>4.004449388209121</v>
      </c>
      <c r="H62" s="7"/>
      <c r="I62" s="62">
        <f t="shared" si="49"/>
        <v>10.95094423957984</v>
      </c>
      <c r="J62" s="62">
        <f t="shared" si="49"/>
        <v>5.2481959326481524</v>
      </c>
      <c r="K62" s="62">
        <f t="shared" si="49"/>
        <v>10.140905209222886</v>
      </c>
      <c r="L62" s="62">
        <f t="shared" ref="L62" si="51">L11/(L$114)*1000</f>
        <v>7.9784245420833795</v>
      </c>
      <c r="M62" s="62">
        <f>M11/(M$114)*1000</f>
        <v>8.5801501526276702</v>
      </c>
      <c r="N62" s="62"/>
      <c r="O62" s="62">
        <f t="shared" ref="O62:Q62" si="52">O11/(O$114)*1000</f>
        <v>4.0211108318673032</v>
      </c>
      <c r="P62" s="62">
        <f t="shared" si="52"/>
        <v>9.0492277992277987</v>
      </c>
      <c r="Q62" s="62">
        <f t="shared" si="52"/>
        <v>13.342779548943204</v>
      </c>
      <c r="R62" s="62">
        <f>R11/(R$114)*1000</f>
        <v>11.268956422705749</v>
      </c>
      <c r="S62" s="62">
        <f>S11/(S$114)*1000</f>
        <v>9.4988882670579162</v>
      </c>
      <c r="U62" s="62">
        <f t="shared" ref="U62:W62" si="53">U11/(U$114)*1000</f>
        <v>22.896963663514189</v>
      </c>
      <c r="V62" s="62">
        <f t="shared" si="53"/>
        <v>9.1793764908518583</v>
      </c>
      <c r="W62" s="62">
        <f t="shared" si="53"/>
        <v>9.931245225362872</v>
      </c>
      <c r="X62" s="62">
        <f>X11/(X$114)*1000</f>
        <v>0</v>
      </c>
      <c r="Y62" s="62">
        <f>Y11/(Y$114)*1000</f>
        <v>14.072834078586547</v>
      </c>
    </row>
    <row r="63" spans="1:25" x14ac:dyDescent="0.25">
      <c r="B63" s="37" t="s">
        <v>46</v>
      </c>
      <c r="C63" s="7"/>
      <c r="E63" s="134">
        <f t="shared" si="48"/>
        <v>2.5155025155025155</v>
      </c>
      <c r="F63" s="91">
        <f t="shared" si="48"/>
        <v>2.3931078493937461</v>
      </c>
      <c r="G63" s="134">
        <f t="shared" si="48"/>
        <v>2.496601161784699</v>
      </c>
      <c r="H63" s="84"/>
      <c r="I63" s="62">
        <f t="shared" si="49"/>
        <v>3.6875628561850489</v>
      </c>
      <c r="J63" s="62">
        <f t="shared" si="49"/>
        <v>3.6081347036956046</v>
      </c>
      <c r="K63" s="62">
        <f t="shared" si="49"/>
        <v>6.9385140905209219</v>
      </c>
      <c r="L63" s="62">
        <f t="shared" ref="L63" si="54">L12/(L$114)*1000</f>
        <v>4.60725924261153</v>
      </c>
      <c r="M63" s="62">
        <f>M12/(M$114)*1000</f>
        <v>4.7300827764485875</v>
      </c>
      <c r="N63" s="62"/>
      <c r="O63" s="62">
        <f t="shared" ref="O63:P63" si="55">O12/(O$114)*1000</f>
        <v>4.2724302588590097</v>
      </c>
      <c r="P63" s="62">
        <f t="shared" si="55"/>
        <v>5.9121621621621623</v>
      </c>
      <c r="Q63" s="62">
        <f>Q12/(Q$114)*1000+0.01</f>
        <v>10.400837170858425</v>
      </c>
      <c r="R63" s="62">
        <f>R12/(R$114)*1000</f>
        <v>10.789426362165079</v>
      </c>
      <c r="S63" s="62">
        <f>S12/(S$114)*1000</f>
        <v>7.8955727315354016</v>
      </c>
      <c r="U63" s="62">
        <f t="shared" ref="U63:V63" si="56">U12/(U$114)*1000</f>
        <v>8.4619213539074156</v>
      </c>
      <c r="V63" s="62">
        <f t="shared" si="56"/>
        <v>4.334705565124489</v>
      </c>
      <c r="W63" s="62">
        <f>W12/(W$114)*1000</f>
        <v>8.5306850012732358</v>
      </c>
      <c r="X63" s="62">
        <f>X12/(X$114)*1000</f>
        <v>0</v>
      </c>
      <c r="Y63" s="62">
        <f>Y12/(Y$114)*1000</f>
        <v>7.1206855068297203</v>
      </c>
    </row>
    <row r="64" spans="1:25" x14ac:dyDescent="0.25">
      <c r="B64" s="37" t="s">
        <v>21</v>
      </c>
      <c r="C64" s="7"/>
      <c r="E64" s="60">
        <f>E13/(E114)*1000-0.01</f>
        <v>0.39950040950040949</v>
      </c>
      <c r="F64" s="93">
        <f>F13/(F114)*1000</f>
        <v>0.47862156987874921</v>
      </c>
      <c r="G64" s="60">
        <f>G13/(G114)*1000</f>
        <v>0.42021999752811767</v>
      </c>
      <c r="H64" s="84"/>
      <c r="I64" s="45">
        <f>I13/(I114)*1000</f>
        <v>1.4526762766789585</v>
      </c>
      <c r="J64" s="45">
        <f>J13/(J114)*1000</f>
        <v>1.0933741526350316</v>
      </c>
      <c r="K64" s="45">
        <f>K13/(K114)*1000</f>
        <v>0.42698548249359519</v>
      </c>
      <c r="L64" s="45">
        <f>L13/(L114)*1000</f>
        <v>0.67423305989437021</v>
      </c>
      <c r="M64" s="45">
        <f>M13/(M114)*1000</f>
        <v>0.90751588152792673</v>
      </c>
      <c r="N64" s="44"/>
      <c r="O64" s="45">
        <f>O13/(O114)*1000</f>
        <v>2.6388539834129179</v>
      </c>
      <c r="P64" s="45">
        <f>P13/(P114)*1000</f>
        <v>0.60328185328185324</v>
      </c>
      <c r="Q64" s="45">
        <f>Q13/(Q114)*1000</f>
        <v>0.1180776951233912</v>
      </c>
      <c r="R64" s="45">
        <f>R13/(R114)*1000</f>
        <v>1.558472696757178</v>
      </c>
      <c r="S64" s="45">
        <f>S13/(S114)*1000</f>
        <v>1.2100494607717092</v>
      </c>
      <c r="U64" s="45">
        <f>U13/(U114)*1000</f>
        <v>1.8666002986560477</v>
      </c>
      <c r="V64" s="45">
        <f>V13/(V114)*1000</f>
        <v>0.89243938105504184</v>
      </c>
      <c r="W64" s="45">
        <f>W13/(W114)*1000</f>
        <v>1.1459129106187931</v>
      </c>
      <c r="X64" s="45">
        <f>X13/(X114)*1000</f>
        <v>0</v>
      </c>
      <c r="Y64" s="45">
        <f>Y13/(Y114)*1000</f>
        <v>1.3061612468149191</v>
      </c>
    </row>
    <row r="65" spans="2:26" x14ac:dyDescent="0.25">
      <c r="B65" s="6" t="s">
        <v>87</v>
      </c>
      <c r="C65" s="7"/>
      <c r="E65" s="52">
        <f>SUM(E60:E64)+0.01</f>
        <v>41.154791154791155</v>
      </c>
      <c r="F65" s="91">
        <f>SUM(F60:F64)-0.01</f>
        <v>24.24015954052329</v>
      </c>
      <c r="G65" s="52">
        <f>SUM(G60:G64)-0.01</f>
        <v>38.526645655666783</v>
      </c>
      <c r="H65" s="84"/>
      <c r="I65" s="44">
        <f>SUM(I60:I64)</f>
        <v>40.56319141803553</v>
      </c>
      <c r="J65" s="44">
        <f>SUM(J60:J64)</f>
        <v>33.23857424010496</v>
      </c>
      <c r="K65" s="52">
        <f>SUM(K60:K64)</f>
        <v>62.766865926558495</v>
      </c>
      <c r="L65" s="52">
        <f>SUM(L60:L64)</f>
        <v>71.246747949207787</v>
      </c>
      <c r="M65" s="52">
        <f>SUM(M60:M64)</f>
        <v>51.948409097159207</v>
      </c>
      <c r="N65" s="52"/>
      <c r="O65" s="44">
        <f>SUM(O60:O64)-0.01</f>
        <v>19.22593616486553</v>
      </c>
      <c r="P65" s="44">
        <f>SUM(P60:P64)-0.01</f>
        <v>90.120308880308869</v>
      </c>
      <c r="Q65" s="52">
        <f>SUM(Q60:Q64)-0.01</f>
        <v>132.8374070138151</v>
      </c>
      <c r="R65" s="52">
        <f>SUM(R60:R64)</f>
        <v>81.76236348378589</v>
      </c>
      <c r="S65" s="52">
        <f>SUM(S60:S64)</f>
        <v>81.890097257725415</v>
      </c>
      <c r="T65" s="52"/>
      <c r="U65" s="44">
        <f>SUM(U60:U64)</f>
        <v>127.42658038825286</v>
      </c>
      <c r="V65" s="44">
        <f>SUM(V60:V64)</f>
        <v>75.347382029075689</v>
      </c>
      <c r="W65" s="52">
        <f>SUM(W60:W64)+0.01</f>
        <v>58.578882098293846</v>
      </c>
      <c r="X65" s="52">
        <f>SUM(X60:X64)</f>
        <v>0</v>
      </c>
      <c r="Y65" s="52">
        <f>SUM(Y60:Y64)</f>
        <v>87.42853506906313</v>
      </c>
      <c r="Z65" s="52"/>
    </row>
    <row r="66" spans="2:26" ht="11.5" customHeight="1" x14ac:dyDescent="0.25">
      <c r="B66" s="6"/>
      <c r="C66" s="7"/>
      <c r="E66" s="61"/>
      <c r="F66" s="92"/>
      <c r="G66" s="61"/>
      <c r="H66" s="84"/>
      <c r="I66" s="32"/>
      <c r="J66" s="32"/>
      <c r="K66" s="61"/>
      <c r="L66" s="61"/>
      <c r="M66" s="61"/>
      <c r="N66" s="61"/>
      <c r="O66" s="32"/>
      <c r="P66" s="32"/>
      <c r="Q66" s="61"/>
      <c r="R66" s="61"/>
      <c r="S66" s="61"/>
      <c r="U66" s="32"/>
      <c r="V66" s="32"/>
      <c r="W66" s="61"/>
      <c r="X66" s="61"/>
      <c r="Y66" s="61"/>
    </row>
    <row r="67" spans="2:26" ht="13" x14ac:dyDescent="0.3">
      <c r="B67" s="1" t="s">
        <v>61</v>
      </c>
      <c r="C67" s="7"/>
      <c r="E67" s="61"/>
      <c r="F67" s="92"/>
      <c r="G67" s="61"/>
      <c r="H67" s="84"/>
      <c r="I67" s="32"/>
      <c r="J67" s="32"/>
      <c r="K67" s="61"/>
      <c r="L67" s="61"/>
      <c r="M67" s="61"/>
      <c r="N67" s="61"/>
      <c r="O67" s="32"/>
      <c r="P67" s="32"/>
      <c r="Q67" s="61"/>
      <c r="R67" s="61"/>
      <c r="S67" s="61"/>
      <c r="U67" s="32"/>
      <c r="V67" s="32"/>
      <c r="W67" s="61"/>
      <c r="X67" s="61"/>
      <c r="Y67" s="61"/>
    </row>
    <row r="68" spans="2:26" x14ac:dyDescent="0.25">
      <c r="B68" s="37" t="s">
        <v>57</v>
      </c>
      <c r="C68" s="7"/>
      <c r="E68" s="52">
        <f>E17/(E114)*1000</f>
        <v>14.946764946764947</v>
      </c>
      <c r="F68" s="91">
        <f>F17/(F114)*1000</f>
        <v>18.187619655392467</v>
      </c>
      <c r="G68" s="52">
        <f>G17/(G114)*1000</f>
        <v>15.449264615004326</v>
      </c>
      <c r="H68" s="84"/>
      <c r="I68" s="44">
        <f>I17/(I114)*1000</f>
        <v>18.32606995194994</v>
      </c>
      <c r="J68" s="44">
        <f>J17/(J114)*1000</f>
        <v>18.478023179532034</v>
      </c>
      <c r="K68" s="52">
        <f>K17/(K114)*1000</f>
        <v>20.281810418445772</v>
      </c>
      <c r="L68" s="52">
        <f>L17/(L114)*1000</f>
        <v>20.451736150129225</v>
      </c>
      <c r="M68" s="52">
        <f>M17/(M114)*1000</f>
        <v>19.387839287187525</v>
      </c>
      <c r="N68" s="52"/>
      <c r="O68" s="44">
        <f>O17/(O114)*1000</f>
        <v>22.870067856245289</v>
      </c>
      <c r="P68" s="44">
        <f>P17/(P114)*1000</f>
        <v>22.924710424710423</v>
      </c>
      <c r="Q68" s="52">
        <f>Q17/(Q114)*1000</f>
        <v>25.268626756405716</v>
      </c>
      <c r="R68" s="52">
        <f>R17/(R114)*1000</f>
        <v>23.856620511898338</v>
      </c>
      <c r="S68" s="52">
        <f>S17/(S114)*1000</f>
        <v>23.74722066764479</v>
      </c>
      <c r="U68" s="44">
        <f>U17/(U114)*1000</f>
        <v>31.607765057242407</v>
      </c>
      <c r="V68" s="44">
        <f>V17/(V114)*1000</f>
        <v>23.713389268033968</v>
      </c>
      <c r="W68" s="52">
        <f>W17/(W114)*1000</f>
        <v>24.955436720142604</v>
      </c>
      <c r="X68" s="52">
        <f>X17/(X114)*1000</f>
        <v>0</v>
      </c>
      <c r="Y68" s="52">
        <f>Y17/(Y114)*1000</f>
        <v>26.797372676589955</v>
      </c>
    </row>
    <row r="69" spans="2:26" x14ac:dyDescent="0.25">
      <c r="B69" s="37" t="s">
        <v>81</v>
      </c>
      <c r="C69" s="7"/>
      <c r="E69" s="52">
        <f>E18/(E114)*1000</f>
        <v>6.2010062010062006</v>
      </c>
      <c r="F69" s="91">
        <f>F18/(F114)*1000</f>
        <v>6.3816209317166566</v>
      </c>
      <c r="G69" s="52">
        <f>G18/(G114)*1000</f>
        <v>6.2291434927697438</v>
      </c>
      <c r="H69" s="84"/>
      <c r="I69" s="44">
        <f>I18/(I114)*1000</f>
        <v>5.3637277908146164</v>
      </c>
      <c r="J69" s="44">
        <f>J18/(J114)*1000</f>
        <v>5.2481959326481524</v>
      </c>
      <c r="K69" s="52">
        <f>K18/(K114)*1000</f>
        <v>5.4440649017933387</v>
      </c>
      <c r="L69" s="52">
        <f>L18/(L114)*1000</f>
        <v>5.95572536240027</v>
      </c>
      <c r="M69" s="52">
        <f>M18/(M114)*1000</f>
        <v>5.500096251684405</v>
      </c>
      <c r="N69" s="52"/>
      <c r="O69" s="44">
        <f>O18/(O114)*1000</f>
        <v>6.0316662478009553</v>
      </c>
      <c r="P69" s="44">
        <f>P18/(P114)*1000</f>
        <v>6.756756756756757</v>
      </c>
      <c r="Q69" s="52">
        <f>Q18/(Q114)*1000</f>
        <v>6.9665840122800802</v>
      </c>
      <c r="R69" s="52">
        <f>R18/(R114)*1000</f>
        <v>7.0730683929748848</v>
      </c>
      <c r="S69" s="52">
        <f>S18/(S114)*1000</f>
        <v>6.7157745072829851</v>
      </c>
      <c r="U69" s="44">
        <f>U18/(U114)*1000</f>
        <v>8.0886012941762075</v>
      </c>
      <c r="V69" s="44">
        <f>V18/(V114)*1000</f>
        <v>9.0518851507011373</v>
      </c>
      <c r="W69" s="52">
        <f>W18/(W114)*1000</f>
        <v>8.2760376878023934</v>
      </c>
      <c r="X69" s="52">
        <f>X18/(X114)*1000</f>
        <v>0</v>
      </c>
      <c r="Y69" s="52">
        <f>Y18/(Y114)*1000</f>
        <v>8.4689809874128628</v>
      </c>
    </row>
    <row r="70" spans="2:26" x14ac:dyDescent="0.25">
      <c r="B70" s="37" t="s">
        <v>22</v>
      </c>
      <c r="C70" s="7"/>
      <c r="E70" s="52">
        <f>E19/(E114)*1000</f>
        <v>9.5940095940095933</v>
      </c>
      <c r="F70" s="91">
        <f>F19/(F114)*1000</f>
        <v>5.4243777919591576</v>
      </c>
      <c r="G70" s="52">
        <f>G19/(G114)*1000</f>
        <v>8.9482140650105055</v>
      </c>
      <c r="H70" s="84"/>
      <c r="I70" s="44">
        <f>I19/(I114)*1000</f>
        <v>5.810705106715834</v>
      </c>
      <c r="J70" s="44">
        <f>J19/(J114)*1000</f>
        <v>5.9042204242291705</v>
      </c>
      <c r="K70" s="52">
        <f>K19/(K114)*1000</f>
        <v>5.7643040136635353</v>
      </c>
      <c r="L70" s="52">
        <f>L19/(L114)*1000</f>
        <v>5.95572536240027</v>
      </c>
      <c r="M70" s="52">
        <f>M19/(M114)*1000-0.01</f>
        <v>5.8476025080438907</v>
      </c>
      <c r="N70" s="52"/>
      <c r="O70" s="44">
        <f>O19/(O114)*1000</f>
        <v>6.1573259612968085</v>
      </c>
      <c r="P70" s="44">
        <f>P19/(P114)*1000</f>
        <v>6.0328185328185331</v>
      </c>
      <c r="Q70" s="52">
        <f>Q19/(Q114)*1000</f>
        <v>5.9038847561695604</v>
      </c>
      <c r="R70" s="52">
        <f>R19/(R114)*1000</f>
        <v>5.8742432416232093</v>
      </c>
      <c r="S70" s="52">
        <f>S19/(S114)*1000</f>
        <v>5.9897448308199595</v>
      </c>
      <c r="U70" s="44">
        <f>U19/(U114)*1000</f>
        <v>7.2175211548033849</v>
      </c>
      <c r="V70" s="44">
        <f>V19/(V114)*1000</f>
        <v>7.1395150484403347</v>
      </c>
      <c r="W70" s="52">
        <f>W19/(W114)*1000</f>
        <v>7.1301247771836005</v>
      </c>
      <c r="X70" s="52">
        <f>X19/(X114)*1000</f>
        <v>0</v>
      </c>
      <c r="Y70" s="52">
        <f>Y19/(Y114)*1000</f>
        <v>7.1628197405979428</v>
      </c>
    </row>
    <row r="71" spans="2:26" x14ac:dyDescent="0.25">
      <c r="B71" s="37" t="s">
        <v>23</v>
      </c>
      <c r="C71" s="7"/>
      <c r="E71" s="52">
        <f>E20/(E114)*1000</f>
        <v>50.778050778050776</v>
      </c>
      <c r="F71" s="91">
        <v>0</v>
      </c>
      <c r="G71" s="52">
        <f>G20/(G114)*1000</f>
        <v>42.911877394636015</v>
      </c>
      <c r="H71" s="84"/>
      <c r="I71" s="44">
        <f>I20/(I114)*1000</f>
        <v>0.33523298692591352</v>
      </c>
      <c r="J71" s="44">
        <f>J20/(J114)*1000</f>
        <v>0</v>
      </c>
      <c r="K71" s="44">
        <f>K20/(K114)*1000</f>
        <v>2.6686592655849699</v>
      </c>
      <c r="L71" s="44">
        <f>L20/(L114)*1000</f>
        <v>0</v>
      </c>
      <c r="M71" s="44">
        <f>M20/(M114)*1000</f>
        <v>0.77001347523581654</v>
      </c>
      <c r="N71" s="44"/>
      <c r="O71" s="44">
        <f>O20/(O114)*1000</f>
        <v>0</v>
      </c>
      <c r="P71" s="44">
        <f>P20/(P114)*1000</f>
        <v>0.24131274131274133</v>
      </c>
      <c r="Q71" s="44">
        <f>Q20/(Q114)*1000</f>
        <v>0</v>
      </c>
      <c r="R71" s="44">
        <f>R20/(R114)*1000</f>
        <v>0</v>
      </c>
      <c r="S71" s="44">
        <f>S20/(S114)*1000</f>
        <v>6.0502473038585455E-2</v>
      </c>
      <c r="U71" s="44">
        <f>U20/(U114)*1000</f>
        <v>0.37332005973120957</v>
      </c>
      <c r="V71" s="44">
        <f>V20/(V114)*1000</f>
        <v>0</v>
      </c>
      <c r="W71" s="44">
        <f>W20/(W114)*1000</f>
        <v>0</v>
      </c>
      <c r="X71" s="44">
        <f>X20/(X114)*1000</f>
        <v>0</v>
      </c>
      <c r="Y71" s="44">
        <f>Y20/(Y114)*1000</f>
        <v>0.1264027013046696</v>
      </c>
    </row>
    <row r="72" spans="2:26" x14ac:dyDescent="0.25">
      <c r="B72" s="37" t="s">
        <v>24</v>
      </c>
      <c r="C72" s="7"/>
      <c r="E72" s="52">
        <f>E21/(E114)*1000</f>
        <v>3.9195039195039194</v>
      </c>
      <c r="F72" s="91">
        <f>F21/(F114)*1000</f>
        <v>1.5954052329291641</v>
      </c>
      <c r="G72" s="52">
        <f>G21/(G114)*1000</f>
        <v>3.5595105672969969</v>
      </c>
      <c r="H72" s="84"/>
      <c r="I72" s="44">
        <f>I21/(I114)*1000</f>
        <v>4.4697731590121803</v>
      </c>
      <c r="J72" s="44">
        <f>J21/(J114)*1000</f>
        <v>4.0454843647496173</v>
      </c>
      <c r="K72" s="52">
        <f>K21/(K114)*1000</f>
        <v>3.842869342442357</v>
      </c>
      <c r="L72" s="52">
        <f>L21/(L114)*1000+0.01</f>
        <v>3.6059096527699741</v>
      </c>
      <c r="M72" s="52">
        <f>M21/(M114)*1000+0.01</f>
        <v>3.9975697824711935</v>
      </c>
      <c r="N72" s="52"/>
      <c r="O72" s="44">
        <f>O21/(O114)*1000+0.01</f>
        <v>4.2824302588590095</v>
      </c>
      <c r="P72" s="44">
        <f>P21/(P114)*1000</f>
        <v>5.0675675675675675</v>
      </c>
      <c r="Q72" s="52">
        <f>Q21/(Q114)*1000</f>
        <v>5.1954185854292128</v>
      </c>
      <c r="R72" s="52">
        <f>R21/(R114)*1000</f>
        <v>5.0350656356770358</v>
      </c>
      <c r="S72" s="52">
        <f>S21/(S114)*1000</f>
        <v>4.9007003161254215</v>
      </c>
      <c r="U72" s="44">
        <f>U21/(U114)*1000</f>
        <v>5.2264808362369344</v>
      </c>
      <c r="V72" s="44">
        <f>V21/(V114)*1000</f>
        <v>5.3546362863302503</v>
      </c>
      <c r="W72" s="52">
        <f>W21/(W114)*1000</f>
        <v>6.1115355233002289</v>
      </c>
      <c r="X72" s="52">
        <f>X21/(X114)*1000</f>
        <v>0</v>
      </c>
      <c r="Y72" s="52">
        <f>Y21/(Y114)*1000</f>
        <v>5.5617188574054621</v>
      </c>
    </row>
    <row r="73" spans="2:26" x14ac:dyDescent="0.25">
      <c r="B73" s="37" t="s">
        <v>25</v>
      </c>
      <c r="C73" s="7"/>
      <c r="E73" s="52">
        <f t="shared" ref="E73:G77" si="57">E22/(E$114)*1000</f>
        <v>0.29250029250029247</v>
      </c>
      <c r="F73" s="91">
        <f t="shared" si="57"/>
        <v>0.1595405232929164</v>
      </c>
      <c r="G73" s="52">
        <f t="shared" si="57"/>
        <v>0.2719070572240761</v>
      </c>
      <c r="H73" s="84"/>
      <c r="I73" s="44">
        <f t="shared" ref="I73:K77" si="58">I22/(I$114)*1000</f>
        <v>0.22348865795060902</v>
      </c>
      <c r="J73" s="44">
        <f t="shared" si="58"/>
        <v>0.21867483052700634</v>
      </c>
      <c r="K73" s="52">
        <f t="shared" si="58"/>
        <v>0.2134927412467976</v>
      </c>
      <c r="L73" s="52">
        <f t="shared" ref="L73" si="59">L22/(L$114)*1000</f>
        <v>0.1123721766490617</v>
      </c>
      <c r="M73" s="52">
        <f>M22/(M$114)*1000</f>
        <v>0.19250336880895413</v>
      </c>
      <c r="N73" s="52"/>
      <c r="O73" s="44">
        <f>O22/(O$114)*1000</f>
        <v>0.12565971349585323</v>
      </c>
      <c r="P73" s="44">
        <f>P22/(P$114)*1000</f>
        <v>0.12065637065637067</v>
      </c>
      <c r="Q73" s="52">
        <f>Q22/(Q$114)*1000</f>
        <v>0.1180776951233912</v>
      </c>
      <c r="R73" s="52">
        <f>R22/(R$114)*1000</f>
        <v>0.11988251513516752</v>
      </c>
      <c r="S73" s="52">
        <f>S22/(S$114)*1000</f>
        <v>0.12100494607717091</v>
      </c>
      <c r="U73" s="44">
        <f>U22/(U$114)*1000</f>
        <v>0.12444001991040318</v>
      </c>
      <c r="V73" s="44">
        <f>V22/(V$114)*1000</f>
        <v>0.12749134015072025</v>
      </c>
      <c r="W73" s="52">
        <f>W22/(W$114)*1000</f>
        <v>0</v>
      </c>
      <c r="X73" s="52">
        <f>X22/(X$114)*1000</f>
        <v>0</v>
      </c>
      <c r="Y73" s="52">
        <f>Y22/(Y$114)*1000</f>
        <v>8.4268467536446387E-2</v>
      </c>
    </row>
    <row r="74" spans="2:26" x14ac:dyDescent="0.25">
      <c r="B74" s="37" t="s">
        <v>91</v>
      </c>
      <c r="C74" s="7"/>
      <c r="E74" s="52">
        <f t="shared" si="57"/>
        <v>2.2815022815022816</v>
      </c>
      <c r="F74" s="91">
        <f t="shared" si="57"/>
        <v>3.8289725590299937</v>
      </c>
      <c r="G74" s="52">
        <f t="shared" si="57"/>
        <v>2.5213199851687058</v>
      </c>
      <c r="H74" s="84"/>
      <c r="I74" s="44">
        <f t="shared" si="58"/>
        <v>6.8164040674935746</v>
      </c>
      <c r="J74" s="44">
        <f t="shared" si="58"/>
        <v>3.2801224579050952</v>
      </c>
      <c r="K74" s="52">
        <f t="shared" si="58"/>
        <v>5.6575576430401364</v>
      </c>
      <c r="L74" s="52">
        <f t="shared" ref="L74" si="60">L23/(L$114)*1000</f>
        <v>5.8433531857512078</v>
      </c>
      <c r="M74" s="52">
        <f>M23/(M$114)*1000</f>
        <v>5.3900943266507166</v>
      </c>
      <c r="N74" s="52"/>
      <c r="O74" s="44">
        <f t="shared" ref="O74:P74" si="61">O23/(O$114)*1000</f>
        <v>2.6388539834129179</v>
      </c>
      <c r="P74" s="44">
        <f t="shared" si="61"/>
        <v>8.0839768339768341</v>
      </c>
      <c r="Q74" s="52">
        <f>Q23/(Q$114)*1000</f>
        <v>11.571614122092337</v>
      </c>
      <c r="R74" s="52">
        <f>R23/(R$114)*1000</f>
        <v>10.429778816759576</v>
      </c>
      <c r="S74" s="52">
        <f>S23/(S$114)*1000</f>
        <v>8.2585875697669131</v>
      </c>
      <c r="U74" s="44">
        <f t="shared" ref="U74:V74" si="62">U23/(U$114)*1000</f>
        <v>15.430562468889995</v>
      </c>
      <c r="V74" s="44">
        <f t="shared" si="62"/>
        <v>3.4422661840694468</v>
      </c>
      <c r="W74" s="52">
        <f>W23/(W$114)*1000</f>
        <v>3.9470333587980648</v>
      </c>
      <c r="X74" s="52">
        <f>X23/(X$114)*1000</f>
        <v>0</v>
      </c>
      <c r="Y74" s="52">
        <f>Y23/(Y$114)*1000</f>
        <v>7.6684305458166211</v>
      </c>
    </row>
    <row r="75" spans="2:26" x14ac:dyDescent="0.25">
      <c r="B75" s="37" t="s">
        <v>62</v>
      </c>
      <c r="C75" s="7"/>
      <c r="E75" s="52">
        <f t="shared" si="57"/>
        <v>1.5502515502515501</v>
      </c>
      <c r="F75" s="91">
        <f t="shared" si="57"/>
        <v>1.5954052329291641</v>
      </c>
      <c r="G75" s="52">
        <f t="shared" si="57"/>
        <v>1.5572858731924359</v>
      </c>
      <c r="H75" s="84"/>
      <c r="I75" s="44">
        <f t="shared" si="58"/>
        <v>2.6818638954073082</v>
      </c>
      <c r="J75" s="44">
        <f t="shared" si="58"/>
        <v>1.8587360594795539</v>
      </c>
      <c r="K75" s="52">
        <f t="shared" si="58"/>
        <v>3.0956447480785654</v>
      </c>
      <c r="L75" s="52">
        <f t="shared" ref="L75" si="63">L24/(L$114)*1000</f>
        <v>2.9216765928756039</v>
      </c>
      <c r="M75" s="52">
        <f>M24/(M$114)*1000</f>
        <v>2.6400462008085142</v>
      </c>
      <c r="N75" s="52"/>
      <c r="O75" s="44">
        <f t="shared" ref="O75:Q75" si="64">O24/(O$114)*1000</f>
        <v>3.0158331239004776</v>
      </c>
      <c r="P75" s="44">
        <f t="shared" si="64"/>
        <v>3.9816602316602316</v>
      </c>
      <c r="Q75" s="52">
        <f t="shared" si="64"/>
        <v>4.9592631951824302</v>
      </c>
      <c r="R75" s="52">
        <f t="shared" ref="R75:S77" si="65">R24/(R$114)*1000</f>
        <v>8.1520110291913923</v>
      </c>
      <c r="S75" s="52">
        <f t="shared" si="65"/>
        <v>5.0519564987218857</v>
      </c>
      <c r="U75" s="44">
        <f t="shared" ref="U75:Y75" si="66">U24/(U$114)*1000</f>
        <v>6.0975609756097562</v>
      </c>
      <c r="V75" s="44">
        <f t="shared" si="66"/>
        <v>1.6573874219593634</v>
      </c>
      <c r="W75" s="52">
        <f t="shared" si="66"/>
        <v>2.9284441049146932</v>
      </c>
      <c r="X75" s="52">
        <f t="shared" si="66"/>
        <v>0</v>
      </c>
      <c r="Y75" s="52">
        <f t="shared" si="66"/>
        <v>3.5814098702989714</v>
      </c>
    </row>
    <row r="76" spans="2:26" x14ac:dyDescent="0.25">
      <c r="B76" s="37" t="s">
        <v>88</v>
      </c>
      <c r="C76" s="7"/>
      <c r="E76" s="52">
        <f t="shared" si="57"/>
        <v>1.0237510237510237</v>
      </c>
      <c r="F76" s="91">
        <f t="shared" si="57"/>
        <v>1.2763241863433312</v>
      </c>
      <c r="G76" s="52">
        <f t="shared" si="57"/>
        <v>1.0629094055122976</v>
      </c>
      <c r="H76" s="84"/>
      <c r="I76" s="44">
        <f t="shared" si="58"/>
        <v>1.3409319477036541</v>
      </c>
      <c r="J76" s="44">
        <f t="shared" si="58"/>
        <v>1.5307238136890444</v>
      </c>
      <c r="K76" s="52">
        <f t="shared" si="58"/>
        <v>1.1742100768573867</v>
      </c>
      <c r="L76" s="52">
        <f t="shared" ref="L76" si="67">L25/(L$114)*1000</f>
        <v>1.5732104730868637</v>
      </c>
      <c r="M76" s="52">
        <f>M25/(M$114)*1000</f>
        <v>1.4025245441795231</v>
      </c>
      <c r="N76" s="52"/>
      <c r="O76" s="44">
        <f t="shared" ref="O76:Q76" si="68">O25/(O$114)*1000</f>
        <v>1.5079165619502388</v>
      </c>
      <c r="P76" s="44">
        <f t="shared" si="68"/>
        <v>1.4478764478764479</v>
      </c>
      <c r="Q76" s="52">
        <f t="shared" si="68"/>
        <v>1.5350100366040855</v>
      </c>
      <c r="R76" s="52">
        <f t="shared" si="65"/>
        <v>1.558472696757178</v>
      </c>
      <c r="S76" s="52">
        <f t="shared" si="65"/>
        <v>1.5125618259646363</v>
      </c>
      <c r="U76" s="44">
        <f t="shared" ref="U76:Y76" si="69">U25/(U$114)*1000</f>
        <v>2.1154803384768539</v>
      </c>
      <c r="V76" s="44">
        <f t="shared" si="69"/>
        <v>2.039861442411524</v>
      </c>
      <c r="W76" s="52">
        <f t="shared" si="69"/>
        <v>2.0371785077667428</v>
      </c>
      <c r="X76" s="52">
        <f t="shared" si="69"/>
        <v>0</v>
      </c>
      <c r="Y76" s="52">
        <f t="shared" si="69"/>
        <v>2.064577454642937</v>
      </c>
    </row>
    <row r="77" spans="2:26" x14ac:dyDescent="0.25">
      <c r="B77" s="37" t="s">
        <v>63</v>
      </c>
      <c r="C77" s="7"/>
      <c r="E77" s="52">
        <f t="shared" si="57"/>
        <v>0.96525096525096532</v>
      </c>
      <c r="F77" s="91">
        <f t="shared" si="57"/>
        <v>1.2763241863433312</v>
      </c>
      <c r="G77" s="52">
        <f t="shared" si="57"/>
        <v>1.0134717587442836</v>
      </c>
      <c r="H77" s="84"/>
      <c r="I77" s="44">
        <f t="shared" si="58"/>
        <v>1.4526762766789585</v>
      </c>
      <c r="J77" s="44">
        <f t="shared" si="58"/>
        <v>1.4213863984255413</v>
      </c>
      <c r="K77" s="52">
        <f t="shared" si="58"/>
        <v>1.3877028181041844</v>
      </c>
      <c r="L77" s="52">
        <f t="shared" ref="L77" si="70">L26/(L$114)*1000</f>
        <v>1.2360939431396785</v>
      </c>
      <c r="M77" s="52">
        <f>M26/(M$114)*1000</f>
        <v>1.3750240629211012</v>
      </c>
      <c r="N77" s="52"/>
      <c r="O77" s="44">
        <f t="shared" ref="O77:Q77" si="71">O26/(O$114)*1000</f>
        <v>1.3822568484543853</v>
      </c>
      <c r="P77" s="44">
        <f t="shared" si="71"/>
        <v>1.3272200772200771</v>
      </c>
      <c r="Q77" s="52">
        <f t="shared" si="71"/>
        <v>1.1807769512339119</v>
      </c>
      <c r="R77" s="52">
        <f t="shared" si="65"/>
        <v>1.3187076664868429</v>
      </c>
      <c r="S77" s="52">
        <f t="shared" si="65"/>
        <v>1.300803170329587</v>
      </c>
      <c r="U77" s="44">
        <f t="shared" ref="U77:Y77" si="72">U26/(U$114)*1000</f>
        <v>1.4932802389248383</v>
      </c>
      <c r="V77" s="44">
        <f t="shared" si="72"/>
        <v>1.4024047416579228</v>
      </c>
      <c r="W77" s="52">
        <f t="shared" si="72"/>
        <v>1.5278838808250572</v>
      </c>
      <c r="X77" s="52">
        <f t="shared" si="72"/>
        <v>0</v>
      </c>
      <c r="Y77" s="52">
        <f t="shared" si="72"/>
        <v>1.4746981818878118</v>
      </c>
    </row>
    <row r="78" spans="2:26" ht="12.5" customHeight="1" x14ac:dyDescent="0.25">
      <c r="B78" s="37" t="s">
        <v>64</v>
      </c>
      <c r="C78" s="7"/>
      <c r="E78" s="60">
        <f>E27/(E114)*1000</f>
        <v>1.638001638001638</v>
      </c>
      <c r="F78" s="93">
        <f>F27/(F114)*1000-0.01</f>
        <v>1.4258647096362476</v>
      </c>
      <c r="G78" s="60">
        <f>G27/(G114)*1000</f>
        <v>1.6067235199604499</v>
      </c>
      <c r="H78" s="84"/>
      <c r="I78" s="45">
        <f>I27/(I114)*1000</f>
        <v>1.8996535925801765</v>
      </c>
      <c r="J78" s="45">
        <f>J27/(J114)*1000</f>
        <v>1.0933741526350316</v>
      </c>
      <c r="K78" s="60">
        <f>K27/(K114)*1000+0.01</f>
        <v>0.4369854824935952</v>
      </c>
      <c r="L78" s="60">
        <f>L27/(L114)*1000</f>
        <v>-0.22474435329812339</v>
      </c>
      <c r="M78" s="60">
        <f>M27/(M114)*1000</f>
        <v>0.79751395649423862</v>
      </c>
      <c r="N78" s="52"/>
      <c r="O78" s="45">
        <f>O27/(O114)*1000</f>
        <v>1.7592359889419453</v>
      </c>
      <c r="P78" s="45">
        <f>P27/(P114)*1000-0.01</f>
        <v>1.0759073359073359</v>
      </c>
      <c r="Q78" s="60">
        <f>Q27/(Q114)*1000</f>
        <v>0.59038847561695595</v>
      </c>
      <c r="R78" s="60">
        <f>R27/(R114)*1000</f>
        <v>2.3976503027033504</v>
      </c>
      <c r="S78" s="60">
        <f>S27/(S114)*1000</f>
        <v>1.4520593529260508</v>
      </c>
      <c r="U78" s="45">
        <f>U27/(U114)*1000</f>
        <v>1.6177202588352415</v>
      </c>
      <c r="V78" s="45">
        <f>V27/(V114)*1000</f>
        <v>2.6773181431651252</v>
      </c>
      <c r="W78" s="60">
        <f>W27/(W114)*1000</f>
        <v>3.5650623885918002</v>
      </c>
      <c r="X78" s="60">
        <f>X27/(X114)*1000</f>
        <v>0</v>
      </c>
      <c r="Y78" s="60">
        <f>Y27/(Y114)*1000</f>
        <v>2.6123224936298381</v>
      </c>
    </row>
    <row r="79" spans="2:26" x14ac:dyDescent="0.25">
      <c r="B79" s="6" t="s">
        <v>65</v>
      </c>
      <c r="C79" s="7"/>
      <c r="E79" s="113">
        <f>SUM(E68:E78)-0.01</f>
        <v>93.180593190593171</v>
      </c>
      <c r="F79" s="114">
        <f>SUM(F68:F78)+0.01</f>
        <v>41.161455009572435</v>
      </c>
      <c r="G79" s="115">
        <f>SUM(G68:G78)</f>
        <v>85.131627734519839</v>
      </c>
      <c r="H79" s="84"/>
      <c r="I79" s="111">
        <f>SUM(I68:I78)</f>
        <v>48.72052743323276</v>
      </c>
      <c r="J79" s="111">
        <f>SUM(J68:J78)</f>
        <v>43.078941613820241</v>
      </c>
      <c r="K79" s="112">
        <f>SUM(K68:K78)</f>
        <v>49.967301451750629</v>
      </c>
      <c r="L79" s="112">
        <f>SUM(L68:L78)+0.01</f>
        <v>47.441058545904035</v>
      </c>
      <c r="M79" s="112">
        <f>SUM(M68:M78)+0.01</f>
        <v>47.310827764485872</v>
      </c>
      <c r="N79" s="52"/>
      <c r="O79" s="111">
        <f>SUM(O68:O78)+0.01</f>
        <v>49.78124654435787</v>
      </c>
      <c r="P79" s="111">
        <f>SUM(P68:P78)</f>
        <v>57.060463320463313</v>
      </c>
      <c r="Q79" s="112">
        <f>SUM(Q68:Q78)+0.01</f>
        <v>63.299644586137674</v>
      </c>
      <c r="R79" s="112">
        <f>SUM(R68:R78)</f>
        <v>65.815500809206981</v>
      </c>
      <c r="S79" s="112">
        <f>SUM(S68:S78)</f>
        <v>59.110916158697989</v>
      </c>
      <c r="T79" s="52"/>
      <c r="U79" s="111">
        <f>SUM(U68:U78)+0.01</f>
        <v>79.402732702837241</v>
      </c>
      <c r="V79" s="111">
        <f>SUM(V68:V78)-0.01</f>
        <v>56.596155026919789</v>
      </c>
      <c r="W79" s="112">
        <f>SUM(W68:W78)+0.01</f>
        <v>60.488736949325187</v>
      </c>
      <c r="X79" s="112">
        <f>SUM(X68:X78)</f>
        <v>0</v>
      </c>
      <c r="Y79" s="112">
        <f>SUM(Y68:Y78)-0.01</f>
        <v>65.593001977123507</v>
      </c>
      <c r="Z79" s="52"/>
    </row>
    <row r="80" spans="2:26" ht="12.5" customHeight="1" x14ac:dyDescent="0.25">
      <c r="B80" s="37" t="s">
        <v>67</v>
      </c>
      <c r="C80" s="7"/>
      <c r="E80" s="109">
        <f>E29/(E$114)*1000</f>
        <v>0</v>
      </c>
      <c r="F80" s="93">
        <f>F29/(F$114)*1000</f>
        <v>0</v>
      </c>
      <c r="G80" s="110">
        <f>G29/(G$114)*1000</f>
        <v>0</v>
      </c>
      <c r="H80" s="84"/>
      <c r="I80" s="45">
        <f>I29/(I$114)*1000</f>
        <v>0.22348865795060902</v>
      </c>
      <c r="J80" s="45">
        <f>J29/(J$114)*1000</f>
        <v>0</v>
      </c>
      <c r="K80" s="60">
        <f>K29/(K$114)*1000</f>
        <v>0.2134927412467976</v>
      </c>
      <c r="L80" s="60">
        <f>L29/(L$114)*1000+0.01</f>
        <v>13.494661197887403</v>
      </c>
      <c r="M80" s="60">
        <f>M29/(M$114)*1000+0.01</f>
        <v>3.4200596760443305</v>
      </c>
      <c r="N80" s="52"/>
      <c r="O80" s="45">
        <f>O29/(O$114)*1000</f>
        <v>6.7856245287760748</v>
      </c>
      <c r="P80" s="45">
        <f>P29/(P$114)*1000</f>
        <v>0.48262548262548266</v>
      </c>
      <c r="Q80" s="60">
        <f>Q29/(Q$114)*1000</f>
        <v>0.23615539024678239</v>
      </c>
      <c r="R80" s="60">
        <f>R29/(R$114)*1000</f>
        <v>-0.11988251513516752</v>
      </c>
      <c r="S80" s="60">
        <f>S29/(S$114)*1000</f>
        <v>1.784822954638271</v>
      </c>
      <c r="U80" s="45">
        <f>U29/(U$114)*1000</f>
        <v>0.87108013937282225</v>
      </c>
      <c r="V80" s="45">
        <f>V29/(V$114)*1000</f>
        <v>0</v>
      </c>
      <c r="W80" s="60">
        <f>W29/(W$114)*1000</f>
        <v>0</v>
      </c>
      <c r="X80" s="60">
        <f>X29/(X$114)*1000</f>
        <v>0</v>
      </c>
      <c r="Y80" s="60">
        <f>Y29/(Y$114)*1000</f>
        <v>0.29493963637756238</v>
      </c>
    </row>
    <row r="81" spans="2:26 16262:16262" ht="13" x14ac:dyDescent="0.3">
      <c r="B81" s="1" t="s">
        <v>29</v>
      </c>
      <c r="C81" s="7"/>
      <c r="E81" s="52">
        <f>+E65-E79+E80</f>
        <v>-52.025802035802016</v>
      </c>
      <c r="F81" s="91">
        <f>+F65-F79+F80</f>
        <v>-16.921295469049145</v>
      </c>
      <c r="G81" s="52">
        <f>+G65-G79+G80</f>
        <v>-46.604982078853055</v>
      </c>
      <c r="H81" s="84"/>
      <c r="I81" s="44">
        <f>+I65-I79+I80</f>
        <v>-7.9338473572466217</v>
      </c>
      <c r="J81" s="44">
        <f>+J65-J79+J80</f>
        <v>-9.8403673737152815</v>
      </c>
      <c r="K81" s="44">
        <f>+K65-K79+K80+0.01</f>
        <v>13.023057216054664</v>
      </c>
      <c r="L81" s="44">
        <f>+L65-L79+L80</f>
        <v>37.300350601191155</v>
      </c>
      <c r="M81" s="44">
        <f>+M65-M79+M80</f>
        <v>8.0576410087176651</v>
      </c>
      <c r="N81" s="44"/>
      <c r="O81" s="44">
        <f>+O65-O79+O80+0.01</f>
        <v>-23.759685850716263</v>
      </c>
      <c r="P81" s="44">
        <f>+P65-P79+P80</f>
        <v>33.542471042471036</v>
      </c>
      <c r="Q81" s="44">
        <f>+Q65-Q79+Q80+0.01</f>
        <v>69.783917817924205</v>
      </c>
      <c r="R81" s="44">
        <f>+R65-R79+R80</f>
        <v>15.826980159443742</v>
      </c>
      <c r="S81" s="44">
        <f>+S65-S79+S80</f>
        <v>24.564004053665698</v>
      </c>
      <c r="T81" s="32"/>
      <c r="U81" s="44">
        <f>+U65-U79+U80+0.01</f>
        <v>48.904927824788437</v>
      </c>
      <c r="V81" s="44">
        <f>+V65-V79+V80</f>
        <v>18.7512270021559</v>
      </c>
      <c r="W81" s="44">
        <f>+W65-W79+W80</f>
        <v>-1.9098548510313407</v>
      </c>
      <c r="X81" s="44">
        <f>+X65-X79+X80</f>
        <v>0</v>
      </c>
      <c r="Y81" s="44">
        <f>+Y65-Y79+Y80</f>
        <v>22.130472728317187</v>
      </c>
      <c r="Z81" s="32"/>
    </row>
    <row r="82" spans="2:26 16262:16262" ht="4.9000000000000004" customHeight="1" x14ac:dyDescent="0.3">
      <c r="B82" s="1"/>
      <c r="C82" s="7"/>
      <c r="E82" s="52"/>
      <c r="F82" s="91"/>
      <c r="G82" s="52"/>
      <c r="H82" s="84"/>
      <c r="I82" s="44"/>
      <c r="J82" s="44"/>
      <c r="K82" s="52"/>
      <c r="L82" s="52"/>
      <c r="M82" s="52"/>
      <c r="N82" s="52"/>
      <c r="O82" s="44"/>
      <c r="P82" s="44"/>
      <c r="Q82" s="52"/>
      <c r="R82" s="52"/>
      <c r="S82" s="52"/>
      <c r="U82" s="44"/>
      <c r="V82" s="44"/>
      <c r="W82" s="52"/>
      <c r="X82" s="52"/>
      <c r="Y82" s="52"/>
    </row>
    <row r="83" spans="2:26 16262:16262" ht="13.9" customHeight="1" x14ac:dyDescent="0.3">
      <c r="B83" s="1" t="s">
        <v>71</v>
      </c>
      <c r="C83" s="7"/>
      <c r="E83" s="52"/>
      <c r="F83" s="91"/>
      <c r="G83" s="52"/>
      <c r="H83" s="84"/>
      <c r="I83" s="44"/>
      <c r="J83" s="44"/>
      <c r="K83" s="52"/>
      <c r="L83" s="52"/>
      <c r="M83" s="52"/>
      <c r="N83" s="52"/>
      <c r="O83" s="44"/>
      <c r="P83" s="44"/>
      <c r="Q83" s="52"/>
      <c r="R83" s="52"/>
      <c r="S83" s="52"/>
      <c r="U83" s="44"/>
      <c r="V83" s="44"/>
      <c r="W83" s="52"/>
      <c r="X83" s="52"/>
      <c r="Y83" s="52"/>
    </row>
    <row r="84" spans="2:26 16262:16262" ht="13.9" customHeight="1" x14ac:dyDescent="0.25">
      <c r="B84" s="63" t="s">
        <v>68</v>
      </c>
      <c r="C84" s="7"/>
      <c r="E84" s="52">
        <f>E33/(E114)*1000</f>
        <v>118.75511875511876</v>
      </c>
      <c r="F84" s="91">
        <f>F33/(F114)*1000</f>
        <v>-0.47862156987874921</v>
      </c>
      <c r="G84" s="52">
        <f>G33/(G114)*1000</f>
        <v>100.28426646891609</v>
      </c>
      <c r="H84" s="84"/>
      <c r="I84" s="44">
        <f>I33/(I114)*1000</f>
        <v>-0.22348865795060902</v>
      </c>
      <c r="J84" s="44">
        <f>J33/(J114)*1000</f>
        <v>-0.21867483052700634</v>
      </c>
      <c r="K84" s="52">
        <f>K33/(K114)*1000</f>
        <v>-0.1067463706233988</v>
      </c>
      <c r="L84" s="52">
        <f>L33/(L114)*1000</f>
        <v>-0.1123721766490617</v>
      </c>
      <c r="M84" s="52">
        <f>M33/(M114)*1000</f>
        <v>-0.16500288755053213</v>
      </c>
      <c r="N84" s="52"/>
      <c r="O84" s="44">
        <f>O33/(O114)*1000</f>
        <v>0</v>
      </c>
      <c r="P84" s="44">
        <f>P33/(P114)*1000</f>
        <v>0</v>
      </c>
      <c r="Q84" s="52">
        <f>Q33/(Q114)*1000</f>
        <v>0</v>
      </c>
      <c r="R84" s="52">
        <f>R33/(R114)*1000</f>
        <v>0</v>
      </c>
      <c r="S84" s="52">
        <f>S33/(S114)*1000</f>
        <v>0</v>
      </c>
      <c r="U84" s="44">
        <f>U33/(U114)*1000</f>
        <v>0</v>
      </c>
      <c r="V84" s="44">
        <f>V33/(V114)*1000</f>
        <v>0</v>
      </c>
      <c r="W84" s="52">
        <f>W33/(W114)*1000</f>
        <v>0</v>
      </c>
      <c r="X84" s="52">
        <f>X33/(X114)*1000</f>
        <v>0</v>
      </c>
      <c r="Y84" s="52">
        <f>Y33/(Y114)*1000</f>
        <v>0</v>
      </c>
    </row>
    <row r="85" spans="2:26 16262:16262" ht="13.9" customHeight="1" x14ac:dyDescent="0.25">
      <c r="B85" s="63" t="s">
        <v>19</v>
      </c>
      <c r="C85" s="7"/>
      <c r="E85" s="52">
        <f>E34/(E114)*1000</f>
        <v>-6.0255060255060249</v>
      </c>
      <c r="F85" s="91">
        <f>F34/(F114)*1000</f>
        <v>-1.7549457562220803</v>
      </c>
      <c r="G85" s="52">
        <f>G34/(G114)*1000</f>
        <v>-5.3639846743295019</v>
      </c>
      <c r="H85" s="84"/>
      <c r="I85" s="44">
        <f>I34/(I114)*1000</f>
        <v>-1.4526762766789585</v>
      </c>
      <c r="J85" s="44">
        <f>J34/(J114)*1000</f>
        <v>-1.4213863984255413</v>
      </c>
      <c r="K85" s="52">
        <f>K34/(K114)*1000</f>
        <v>-1.4944491887275833</v>
      </c>
      <c r="L85" s="52">
        <f>L34/(L114)*1000</f>
        <v>-1.5732104730868637</v>
      </c>
      <c r="M85" s="52">
        <f>M34/(M114)*1000+0.01</f>
        <v>-1.4750259879547891</v>
      </c>
      <c r="N85" s="52"/>
      <c r="O85" s="44">
        <f>O34/(O114)*1000</f>
        <v>-1.6335762754460921</v>
      </c>
      <c r="P85" s="44">
        <f>P34/(P114)*1000</f>
        <v>-1.5685328185328185</v>
      </c>
      <c r="Q85" s="52">
        <f>Q34/(Q114)*1000</f>
        <v>-1.5350100366040855</v>
      </c>
      <c r="R85" s="52">
        <f>R34/(R114)*1000</f>
        <v>-1.6783552118923455</v>
      </c>
      <c r="S85" s="52">
        <f>S34/(S114)*1000</f>
        <v>-1.6033155355225144</v>
      </c>
      <c r="U85" s="44">
        <f>U34/(U114)*1000</f>
        <v>-1.7421602787456445</v>
      </c>
      <c r="V85" s="44">
        <f>V34/(V114)*1000</f>
        <v>-1.7848787621100837</v>
      </c>
      <c r="W85" s="52">
        <f>W34/(W114)*1000</f>
        <v>-1.9098548510313218</v>
      </c>
      <c r="X85" s="52">
        <f>X34/(X114)*1000</f>
        <v>0</v>
      </c>
      <c r="Y85" s="52">
        <f>Y34/(Y114)*1000</f>
        <v>-1.8117720520335974</v>
      </c>
    </row>
    <row r="86" spans="2:26 16262:16262" ht="13.9" customHeight="1" x14ac:dyDescent="0.25">
      <c r="B86" s="63" t="s">
        <v>86</v>
      </c>
      <c r="C86" s="7"/>
      <c r="E86" s="52"/>
      <c r="F86" s="91"/>
      <c r="G86" s="52"/>
      <c r="H86" s="84"/>
      <c r="I86" s="44"/>
      <c r="J86" s="44"/>
      <c r="K86" s="52"/>
      <c r="L86" s="52"/>
      <c r="M86" s="52"/>
      <c r="N86" s="52"/>
      <c r="O86" s="44">
        <f>O35/(O114)*1000</f>
        <v>0</v>
      </c>
      <c r="P86" s="44">
        <f>P35/(P114)*1000</f>
        <v>0</v>
      </c>
      <c r="Q86" s="52">
        <f>Q35/(Q114)*1000</f>
        <v>0</v>
      </c>
      <c r="R86" s="52">
        <f>R35/(R114)*1000</f>
        <v>-0.11988251513516752</v>
      </c>
      <c r="S86" s="52">
        <f>S35/(S114)*1000</f>
        <v>-3.0251236519292728E-2</v>
      </c>
      <c r="U86" s="44">
        <f>U35/(U114)*1000</f>
        <v>-0.24888003982080636</v>
      </c>
      <c r="V86" s="44">
        <f>V35/(V114)*1000</f>
        <v>-0.12749134015072025</v>
      </c>
      <c r="W86" s="52">
        <f>W35/(W114)*1000</f>
        <v>-0.3819709702062643</v>
      </c>
      <c r="X86" s="52">
        <f>X35/(X114)*1000</f>
        <v>0</v>
      </c>
      <c r="Y86" s="52">
        <f>Y35/(Y114)*1000</f>
        <v>-0.2528054026093392</v>
      </c>
    </row>
    <row r="87" spans="2:26 16262:16262" ht="13.9" customHeight="1" x14ac:dyDescent="0.25">
      <c r="B87" s="63" t="s">
        <v>58</v>
      </c>
      <c r="C87" s="7"/>
      <c r="E87" s="52">
        <f>+E36/E114*1000</f>
        <v>0.14625014625014623</v>
      </c>
      <c r="F87" s="91">
        <f>+F36/F114*1000</f>
        <v>0</v>
      </c>
      <c r="G87" s="52">
        <f>+G36/G114*1000</f>
        <v>0.12359411692003462</v>
      </c>
      <c r="H87" s="84"/>
      <c r="I87" s="44">
        <f>+I36/I114*1000</f>
        <v>-0.22348865795060902</v>
      </c>
      <c r="J87" s="44">
        <f>+J36/J114*1000</f>
        <v>0</v>
      </c>
      <c r="K87" s="52">
        <f>+K36/K114*1000</f>
        <v>0</v>
      </c>
      <c r="L87" s="52">
        <f>+L36/L114*1000</f>
        <v>0</v>
      </c>
      <c r="M87" s="52">
        <f>+M36/M114*1000</f>
        <v>-5.5000962516844047E-2</v>
      </c>
      <c r="N87" s="52"/>
      <c r="O87" s="44">
        <f>+O36/O114*1000</f>
        <v>0</v>
      </c>
      <c r="P87" s="44">
        <f>+P36/P114*1000</f>
        <v>0</v>
      </c>
      <c r="Q87" s="52">
        <f>+Q36/Q114*1000</f>
        <v>0</v>
      </c>
      <c r="R87" s="52">
        <f>+R36/R114*1000</f>
        <v>0</v>
      </c>
      <c r="S87" s="52">
        <f>+S36/S114*1000</f>
        <v>0</v>
      </c>
      <c r="U87" s="44">
        <f>+U36/U114*1000</f>
        <v>0</v>
      </c>
      <c r="V87" s="44">
        <f>+V36/V114*1000</f>
        <v>0</v>
      </c>
      <c r="W87" s="52">
        <f>+W36/W114*1000</f>
        <v>0</v>
      </c>
      <c r="X87" s="52">
        <f>+X36/X114*1000</f>
        <v>0</v>
      </c>
      <c r="Y87" s="52">
        <f>+Y36/Y114*1000</f>
        <v>0</v>
      </c>
    </row>
    <row r="88" spans="2:26 16262:16262" ht="13.9" hidden="1" customHeight="1" x14ac:dyDescent="0.25">
      <c r="B88" s="63"/>
      <c r="C88" s="7"/>
      <c r="E88" s="52">
        <f>+E37/E114*1000</f>
        <v>0</v>
      </c>
      <c r="F88" s="91">
        <f>+F37/F114*1000</f>
        <v>0</v>
      </c>
      <c r="G88" s="52">
        <f>+G37/G114*1000</f>
        <v>0</v>
      </c>
      <c r="H88" s="84"/>
      <c r="I88" s="44">
        <f>+I37/I114*1000</f>
        <v>0</v>
      </c>
      <c r="J88" s="44">
        <f>+J37/J114*1000</f>
        <v>0</v>
      </c>
      <c r="K88" s="52">
        <f>+K37/K114*1000</f>
        <v>0</v>
      </c>
      <c r="L88" s="52">
        <f>+L37/L114*1000</f>
        <v>0</v>
      </c>
      <c r="M88" s="52">
        <f>+M37/M114*1000</f>
        <v>0</v>
      </c>
      <c r="N88" s="52"/>
      <c r="O88" s="44">
        <f>+O37/O114*1000</f>
        <v>0</v>
      </c>
      <c r="P88" s="44">
        <f>+P37/P114*1000</f>
        <v>0</v>
      </c>
      <c r="Q88" s="52">
        <f>+Q37/Q114*1000</f>
        <v>0</v>
      </c>
      <c r="R88" s="52">
        <f>+R37/R114*1000</f>
        <v>0</v>
      </c>
      <c r="S88" s="52">
        <f>+S37/S114*1000</f>
        <v>0</v>
      </c>
      <c r="U88" s="44">
        <f>+U37/U114*1000</f>
        <v>0</v>
      </c>
      <c r="V88" s="44">
        <f>+V37/V114*1000</f>
        <v>0</v>
      </c>
      <c r="W88" s="52">
        <f>+W37/W114*1000</f>
        <v>0</v>
      </c>
      <c r="X88" s="52">
        <f>+X37/X114*1000</f>
        <v>0</v>
      </c>
      <c r="Y88" s="52">
        <f>+Y37/Y114*1000</f>
        <v>0</v>
      </c>
    </row>
    <row r="89" spans="2:26 16262:16262" ht="13.9" customHeight="1" x14ac:dyDescent="0.25">
      <c r="B89" s="63" t="s">
        <v>89</v>
      </c>
      <c r="C89" s="7"/>
      <c r="E89" s="60">
        <f>+E38/E114*1000-0.01</f>
        <v>-2.4670024570024567</v>
      </c>
      <c r="F89" s="93">
        <f>+F38/F114*1000</f>
        <v>-0.79770261646458207</v>
      </c>
      <c r="G89" s="60">
        <f>+G38/G114*1000+0.01</f>
        <v>-2.1899752811766162</v>
      </c>
      <c r="H89" s="84"/>
      <c r="I89" s="45">
        <f>+I38/I114*1000</f>
        <v>-0.11174432897530451</v>
      </c>
      <c r="J89" s="45">
        <f>+J38/J114*1000</f>
        <v>-0.21867483052700634</v>
      </c>
      <c r="K89" s="60">
        <f>+K38/K114*1000</f>
        <v>0</v>
      </c>
      <c r="L89" s="60">
        <f>+L38/L114*1000</f>
        <v>0.1123721766490617</v>
      </c>
      <c r="M89" s="60">
        <f>+M38/M114*1000</f>
        <v>-5.5000962516844047E-2</v>
      </c>
      <c r="N89" s="52"/>
      <c r="O89" s="45">
        <f>+O38/O114*1000</f>
        <v>0.12565971349585323</v>
      </c>
      <c r="P89" s="45">
        <f>+P38/P114*1000</f>
        <v>0.12065637065637067</v>
      </c>
      <c r="Q89" s="60">
        <f>+Q38/Q114*1000</f>
        <v>0.1180776951233912</v>
      </c>
      <c r="R89" s="60">
        <f>+R38/R114*1000</f>
        <v>0</v>
      </c>
      <c r="S89" s="60">
        <f>+S38/S114*1000</f>
        <v>9.0753709557878176E-2</v>
      </c>
      <c r="U89" s="45">
        <f>+U38/U114*1000</f>
        <v>-0.12444001991040318</v>
      </c>
      <c r="V89" s="45">
        <f>+V38/V114*1000</f>
        <v>0.38247402045216078</v>
      </c>
      <c r="W89" s="60">
        <f>+W38/W114*1000</f>
        <v>0.3819709702062643</v>
      </c>
      <c r="X89" s="60">
        <f>+X38/X114*1000</f>
        <v>0</v>
      </c>
      <c r="Y89" s="60">
        <f>+Y38/Y114*1000</f>
        <v>0.21067116884111597</v>
      </c>
    </row>
    <row r="90" spans="2:26 16262:16262" ht="3.65" customHeight="1" x14ac:dyDescent="0.3">
      <c r="B90" s="1"/>
      <c r="C90" s="7"/>
      <c r="E90" s="52"/>
      <c r="F90" s="91"/>
      <c r="G90" s="52"/>
      <c r="H90" s="84"/>
      <c r="I90" s="44"/>
      <c r="J90" s="44"/>
      <c r="K90" s="52"/>
      <c r="L90" s="52"/>
      <c r="M90" s="52"/>
      <c r="N90" s="52"/>
      <c r="O90" s="44"/>
      <c r="P90" s="44"/>
      <c r="Q90" s="52"/>
      <c r="R90" s="52"/>
      <c r="S90" s="52"/>
      <c r="U90" s="44"/>
      <c r="V90" s="44"/>
      <c r="W90" s="52"/>
      <c r="X90" s="52"/>
      <c r="Y90" s="52"/>
    </row>
    <row r="91" spans="2:26 16262:16262" ht="14.65" customHeight="1" x14ac:dyDescent="0.3">
      <c r="B91" s="1" t="s">
        <v>26</v>
      </c>
      <c r="C91" s="7"/>
      <c r="E91" s="61">
        <f t="shared" ref="E91" si="73">+E81+E84+E85+E87+E89+E88</f>
        <v>58.383058383058405</v>
      </c>
      <c r="F91" s="92">
        <f>+F81+F84+F85+F87+F89+F88</f>
        <v>-19.952565411614561</v>
      </c>
      <c r="G91" s="61">
        <f>+G81+G84+G85+G87+G89+G88</f>
        <v>46.248918551476947</v>
      </c>
      <c r="H91" s="84"/>
      <c r="I91" s="32">
        <f>+I81+I84+I85+I87+I89+I88+0.01</f>
        <v>-9.9352452788021033</v>
      </c>
      <c r="J91" s="32">
        <f>+J81+J84+J85+J87+J89+J88</f>
        <v>-11.699103433194837</v>
      </c>
      <c r="K91" s="32">
        <f>+K81+K84+K85+K87+K89+K88</f>
        <v>11.421861656703683</v>
      </c>
      <c r="L91" s="32">
        <f>+L81+L84+L85+L87+L89+L88</f>
        <v>35.727140128104288</v>
      </c>
      <c r="M91" s="32">
        <f>+M81+M84+M85+M87+M89+M88-0.02</f>
        <v>6.2876102081786573</v>
      </c>
      <c r="N91" s="32"/>
      <c r="O91" s="32">
        <f>+O81+O84+O85+O87+O89+O88+0.01</f>
        <v>-25.2576024126665</v>
      </c>
      <c r="P91" s="32">
        <f>+P81+P84+P85+P87+P89+P88</f>
        <v>32.094594594594589</v>
      </c>
      <c r="Q91" s="32">
        <f>+Q81+Q84+Q85+Q87+Q89+Q88</f>
        <v>68.366985476443503</v>
      </c>
      <c r="R91" s="32">
        <f>+R81+R84+R85+R86+R87+R89+R88</f>
        <v>14.02874243241623</v>
      </c>
      <c r="S91" s="32">
        <f>+S81+S84+S85+S86+S87+S89+S88</f>
        <v>23.021190991181768</v>
      </c>
      <c r="T91" s="32"/>
      <c r="U91" s="32">
        <f>+U81+U84+U85+U86+U87+U89+U88</f>
        <v>46.789447486311587</v>
      </c>
      <c r="V91" s="32">
        <f t="shared" ref="V91:X91" si="74">+V81+V84+V85+V86+V87+V89+V88</f>
        <v>17.22133092034726</v>
      </c>
      <c r="W91" s="32">
        <f t="shared" si="74"/>
        <v>-3.8197097020626631</v>
      </c>
      <c r="X91" s="32">
        <f t="shared" si="74"/>
        <v>0</v>
      </c>
      <c r="Y91" s="32">
        <f>+Y81+Y84+Y85+Y86+Y87+Y89+Y88+0.01</f>
        <v>20.286566442515369</v>
      </c>
      <c r="Z91" s="32"/>
    </row>
    <row r="92" spans="2:26 16262:16262" ht="14.65" customHeight="1" x14ac:dyDescent="0.25">
      <c r="B92" s="37" t="s">
        <v>69</v>
      </c>
      <c r="C92" s="7"/>
      <c r="E92" s="60">
        <f>E40/(E114)*1000</f>
        <v>0</v>
      </c>
      <c r="F92" s="93">
        <f>F40/(F114)*1000</f>
        <v>0</v>
      </c>
      <c r="G92" s="60">
        <f>G40/(G114)*1000</f>
        <v>0</v>
      </c>
      <c r="H92" s="84"/>
      <c r="I92" s="45">
        <f>I40/(I114)*1000</f>
        <v>0</v>
      </c>
      <c r="J92" s="45">
        <f>J40/(J114)*1000</f>
        <v>0</v>
      </c>
      <c r="K92" s="60">
        <f>K40/(K114)*1000</f>
        <v>0</v>
      </c>
      <c r="L92" s="60">
        <f>L40/(L114)*1000</f>
        <v>44.499381953028433</v>
      </c>
      <c r="M92" s="60">
        <f>M40/(M114)*1000-0.01</f>
        <v>10.880190578335121</v>
      </c>
      <c r="N92" s="52"/>
      <c r="O92" s="45">
        <f>O40/(O114)*1000</f>
        <v>3.2671525508921841</v>
      </c>
      <c r="P92" s="45">
        <f>P40/(P114)*1000</f>
        <v>-9.1698841698841704</v>
      </c>
      <c r="Q92" s="60">
        <f>Q40/(Q114)*1000</f>
        <v>-18.065887353878853</v>
      </c>
      <c r="R92" s="60">
        <f>R40/(R114)*1000</f>
        <v>-4.0760055145956962</v>
      </c>
      <c r="S92" s="60">
        <f>S40/(S114)*1000</f>
        <v>-7.169543055072376</v>
      </c>
      <c r="U92" s="45">
        <f>U40/(U114)*1000</f>
        <v>-9.3330014932802392</v>
      </c>
      <c r="V92" s="45">
        <f>V40/(V114)*1000</f>
        <v>-4.8446709257273701</v>
      </c>
      <c r="W92" s="60">
        <f>W40/(W114)*1000</f>
        <v>1.0185892538833714</v>
      </c>
      <c r="X92" s="60">
        <f>X40/(X114)*1000</f>
        <v>0</v>
      </c>
      <c r="Y92" s="60">
        <f>Y40/(Y114)*1000</f>
        <v>-4.4240945456634355</v>
      </c>
    </row>
    <row r="93" spans="2:26 16262:16262" ht="14.65" customHeight="1" x14ac:dyDescent="0.3">
      <c r="B93" s="1" t="s">
        <v>27</v>
      </c>
      <c r="C93" s="29"/>
      <c r="D93" s="28"/>
      <c r="E93" s="52">
        <f t="shared" ref="E93" si="75">SUM(E91:E92)</f>
        <v>58.383058383058405</v>
      </c>
      <c r="F93" s="91">
        <f t="shared" ref="F93" si="76">SUM(F91:F92)</f>
        <v>-19.952565411614561</v>
      </c>
      <c r="G93" s="52">
        <f>SUM(G91:G92)</f>
        <v>46.248918551476947</v>
      </c>
      <c r="H93" s="84"/>
      <c r="I93" s="44">
        <f>SUM(I91:I92)</f>
        <v>-9.9352452788021033</v>
      </c>
      <c r="J93" s="44">
        <f>SUM(J91:J92)</f>
        <v>-11.699103433194837</v>
      </c>
      <c r="K93" s="52">
        <f>SUM(K91:K92)</f>
        <v>11.421861656703683</v>
      </c>
      <c r="L93" s="52">
        <f>SUM(L91:L92)</f>
        <v>80.226522081132714</v>
      </c>
      <c r="M93" s="52">
        <f>SUM(M91:M92)</f>
        <v>17.16780078651378</v>
      </c>
      <c r="N93" s="52"/>
      <c r="O93" s="44">
        <f>SUM(O91:O92)</f>
        <v>-21.990449861774316</v>
      </c>
      <c r="P93" s="44">
        <f>SUM(P91:P92)</f>
        <v>22.924710424710419</v>
      </c>
      <c r="Q93" s="52">
        <f>SUM(Q91:Q92)</f>
        <v>50.301098122564653</v>
      </c>
      <c r="R93" s="52">
        <f>SUM(R91:R92)</f>
        <v>9.952736917820534</v>
      </c>
      <c r="S93" s="52">
        <f>SUM(S91:S92)</f>
        <v>15.851647936109392</v>
      </c>
      <c r="T93" s="32"/>
      <c r="U93" s="44">
        <f>SUM(U91:U92)</f>
        <v>37.456445993031352</v>
      </c>
      <c r="V93" s="44">
        <f>SUM(V91:V92)</f>
        <v>12.376659994619889</v>
      </c>
      <c r="W93" s="52">
        <f>SUM(W91:W92)</f>
        <v>-2.801120448179292</v>
      </c>
      <c r="X93" s="52">
        <f>SUM(X91:X92)</f>
        <v>0</v>
      </c>
      <c r="Y93" s="52">
        <f>SUM(Y91:Y92)</f>
        <v>15.862471896851932</v>
      </c>
      <c r="Z93" s="52"/>
    </row>
    <row r="94" spans="2:26 16262:16262" ht="4.1500000000000004" customHeight="1" x14ac:dyDescent="0.3">
      <c r="B94" s="1"/>
      <c r="C94" s="29"/>
      <c r="D94" s="28"/>
      <c r="E94" s="52"/>
      <c r="F94" s="91"/>
      <c r="G94" s="52"/>
      <c r="H94" s="84"/>
      <c r="I94" s="44"/>
      <c r="J94" s="44"/>
      <c r="K94" s="52"/>
      <c r="L94" s="52"/>
      <c r="M94" s="52"/>
      <c r="N94" s="52"/>
      <c r="O94" s="44"/>
      <c r="P94" s="44"/>
      <c r="Q94" s="52"/>
      <c r="R94" s="52"/>
      <c r="S94" s="52"/>
      <c r="U94" s="44"/>
      <c r="V94" s="44"/>
      <c r="W94" s="52"/>
      <c r="X94" s="52"/>
      <c r="Y94" s="52"/>
    </row>
    <row r="95" spans="2:26 16262:16262" ht="14.65" customHeight="1" x14ac:dyDescent="0.3">
      <c r="B95" s="80" t="s">
        <v>42</v>
      </c>
      <c r="C95" s="29"/>
      <c r="F95" s="90"/>
      <c r="H95" s="84"/>
      <c r="K95" s="34"/>
      <c r="L95" s="34"/>
      <c r="M95" s="34"/>
      <c r="N95" s="34"/>
      <c r="Q95" s="34"/>
      <c r="R95" s="34"/>
      <c r="S95" s="34"/>
      <c r="W95" s="34"/>
      <c r="X95" s="34"/>
      <c r="Y95" s="34"/>
      <c r="XAL95" s="45"/>
    </row>
    <row r="96" spans="2:26 16262:16262" ht="14.65" customHeight="1" x14ac:dyDescent="0.3">
      <c r="B96" s="69" t="s">
        <v>41</v>
      </c>
      <c r="C96" s="29"/>
      <c r="D96" s="28"/>
      <c r="E96" s="52">
        <f>E44/(E114)*1000</f>
        <v>-2.7495027495027493</v>
      </c>
      <c r="F96" s="91">
        <f>F44/(F114)*1000</f>
        <v>0</v>
      </c>
      <c r="G96" s="52">
        <f>G44/(G114)*1000-0.01</f>
        <v>-2.3335693980966501</v>
      </c>
      <c r="H96" s="84"/>
      <c r="I96" s="44">
        <f>I44/(I114)*1000</f>
        <v>0</v>
      </c>
      <c r="J96" s="44">
        <f>J44/(J114)*1000</f>
        <v>0</v>
      </c>
      <c r="K96" s="52">
        <f>K44/(K114)*1000</f>
        <v>0</v>
      </c>
      <c r="L96" s="52">
        <f>L44/(L114)*1000</f>
        <v>0</v>
      </c>
      <c r="M96" s="52">
        <f>M44/(M114)*1000</f>
        <v>0</v>
      </c>
      <c r="N96" s="52"/>
      <c r="O96" s="44">
        <f>O44/(O114)*1000</f>
        <v>0</v>
      </c>
      <c r="P96" s="44">
        <f>P44/(P114)*1000</f>
        <v>0</v>
      </c>
      <c r="Q96" s="52">
        <f>Q44/(Q114)*1000</f>
        <v>0</v>
      </c>
      <c r="R96" s="52">
        <f>R44/(R114)*1000</f>
        <v>0</v>
      </c>
      <c r="S96" s="52">
        <f>S44/(S114)*1000</f>
        <v>0</v>
      </c>
      <c r="U96" s="44">
        <f>U44/(U114)*1000</f>
        <v>0</v>
      </c>
      <c r="V96" s="44">
        <f>V44/(V114)*1000</f>
        <v>0</v>
      </c>
      <c r="W96" s="52">
        <f>W44/(W114)*1000</f>
        <v>0</v>
      </c>
      <c r="X96" s="52">
        <f>X44/(X114)*1000</f>
        <v>0</v>
      </c>
      <c r="Y96" s="52">
        <f>Y44/(Y114)*1000</f>
        <v>0</v>
      </c>
      <c r="XAL96" s="44"/>
    </row>
    <row r="97" spans="2:25 16262:16262" ht="14.65" customHeight="1" x14ac:dyDescent="0.3">
      <c r="B97" s="69" t="s">
        <v>70</v>
      </c>
      <c r="C97" s="29"/>
      <c r="D97" s="28"/>
      <c r="E97" s="60">
        <f>E45/(E114)*1000</f>
        <v>-0.38025038025038022</v>
      </c>
      <c r="F97" s="93">
        <f>F45/(F114)*1000+0.01</f>
        <v>0.32908104658583281</v>
      </c>
      <c r="G97" s="60">
        <f>G45/(G114)*1000</f>
        <v>-0.2719070572240761</v>
      </c>
      <c r="H97" s="84"/>
      <c r="I97" s="45">
        <f>I45/(I114)*1000</f>
        <v>-0.55872164487652254</v>
      </c>
      <c r="J97" s="45">
        <f>J45/(J114)*1000</f>
        <v>-0.43734966105401268</v>
      </c>
      <c r="K97" s="60">
        <f>K45/(K114)*1000</f>
        <v>-0.42698548249359519</v>
      </c>
      <c r="L97" s="60">
        <f>L45/(L114)*1000</f>
        <v>0</v>
      </c>
      <c r="M97" s="60">
        <f>M45/(M114)*1000</f>
        <v>-0.35750625635948624</v>
      </c>
      <c r="N97" s="52"/>
      <c r="O97" s="45">
        <f>O45/(O114)*1000</f>
        <v>0</v>
      </c>
      <c r="P97" s="45">
        <f>P45/(P114)*1000</f>
        <v>0</v>
      </c>
      <c r="Q97" s="60">
        <f>Q45/(Q114)*1000</f>
        <v>0</v>
      </c>
      <c r="R97" s="60">
        <f>R45/(R114)*1000</f>
        <v>0</v>
      </c>
      <c r="S97" s="60">
        <f>S45/(S114)*1000</f>
        <v>0</v>
      </c>
      <c r="U97" s="45">
        <f>U45/(U114)*1000</f>
        <v>0</v>
      </c>
      <c r="V97" s="45">
        <f>V45/(V114)*1000</f>
        <v>0</v>
      </c>
      <c r="W97" s="60">
        <f>W45/(W114)*1000</f>
        <v>0</v>
      </c>
      <c r="X97" s="60">
        <f>X45/(X114)*1000</f>
        <v>0</v>
      </c>
      <c r="Y97" s="60">
        <f>Y45/(Y114)*1000</f>
        <v>0</v>
      </c>
      <c r="XAL97" s="44"/>
    </row>
    <row r="98" spans="2:25 16262:16262" ht="14.65" customHeight="1" x14ac:dyDescent="0.3">
      <c r="B98" s="69" t="s">
        <v>43</v>
      </c>
      <c r="C98" s="29"/>
      <c r="D98" s="28"/>
      <c r="E98" s="52">
        <f t="shared" ref="E98" si="77">+E96+E97</f>
        <v>-3.1297531297531296</v>
      </c>
      <c r="F98" s="91">
        <f t="shared" ref="F98" si="78">+F96+F97</f>
        <v>0.32908104658583281</v>
      </c>
      <c r="G98" s="52">
        <f>+G96+G97+0.01</f>
        <v>-2.5954764553207266</v>
      </c>
      <c r="H98" s="84"/>
      <c r="I98" s="44">
        <f>+I96+I97</f>
        <v>-0.55872164487652254</v>
      </c>
      <c r="J98" s="44">
        <f>+J96+J97</f>
        <v>-0.43734966105401268</v>
      </c>
      <c r="K98" s="52">
        <f>+K96+K97</f>
        <v>-0.42698548249359519</v>
      </c>
      <c r="L98" s="52">
        <f>+L96+L97</f>
        <v>0</v>
      </c>
      <c r="M98" s="52">
        <f>+M96+M97</f>
        <v>-0.35750625635948624</v>
      </c>
      <c r="N98" s="52"/>
      <c r="O98" s="44">
        <f>+O96+O97</f>
        <v>0</v>
      </c>
      <c r="P98" s="44">
        <f>+P96+P97</f>
        <v>0</v>
      </c>
      <c r="Q98" s="52">
        <f>+Q96+Q97</f>
        <v>0</v>
      </c>
      <c r="R98" s="52">
        <f>+R96+R97</f>
        <v>0</v>
      </c>
      <c r="S98" s="52">
        <f>+S96+S97</f>
        <v>0</v>
      </c>
      <c r="U98" s="44">
        <f>+U96+U97</f>
        <v>0</v>
      </c>
      <c r="V98" s="44">
        <f>+V96+V97</f>
        <v>0</v>
      </c>
      <c r="W98" s="52">
        <f>+W96+W97</f>
        <v>0</v>
      </c>
      <c r="X98" s="52">
        <f>+X96+X97</f>
        <v>0</v>
      </c>
      <c r="Y98" s="52">
        <f>+Y96+Y97</f>
        <v>0</v>
      </c>
      <c r="XAL98" s="44"/>
    </row>
    <row r="99" spans="2:25 16262:16262" ht="1.9" customHeight="1" x14ac:dyDescent="0.3">
      <c r="B99" s="69"/>
      <c r="C99" s="29"/>
      <c r="D99" s="28"/>
      <c r="E99" s="52"/>
      <c r="F99" s="91"/>
      <c r="G99" s="52"/>
      <c r="H99" s="84"/>
      <c r="I99" s="44"/>
      <c r="J99" s="44"/>
      <c r="K99" s="52"/>
      <c r="L99" s="52"/>
      <c r="M99" s="52"/>
      <c r="N99" s="52"/>
      <c r="O99" s="44"/>
      <c r="P99" s="44"/>
      <c r="Q99" s="52"/>
      <c r="R99" s="52"/>
      <c r="S99" s="52"/>
      <c r="U99" s="44"/>
      <c r="V99" s="44"/>
      <c r="W99" s="52"/>
      <c r="X99" s="52"/>
      <c r="Y99" s="52"/>
      <c r="XAL99" s="44"/>
    </row>
    <row r="100" spans="2:25 16262:16262" ht="14.65" customHeight="1" thickBot="1" x14ac:dyDescent="0.35">
      <c r="B100" s="1" t="s">
        <v>28</v>
      </c>
      <c r="C100" s="29"/>
      <c r="D100" s="28"/>
      <c r="E100" s="81">
        <f t="shared" ref="E100" si="79">+E93+E98</f>
        <v>55.253305253305278</v>
      </c>
      <c r="F100" s="94">
        <f>+F93+F98</f>
        <v>-19.623484365028727</v>
      </c>
      <c r="G100" s="81">
        <f>+G93+G98</f>
        <v>43.653442096156219</v>
      </c>
      <c r="H100" s="84"/>
      <c r="I100" s="46">
        <f>+I93+I98-0.01</f>
        <v>-10.503966923678625</v>
      </c>
      <c r="J100" s="46">
        <f>+J93+J98</f>
        <v>-12.13645309424885</v>
      </c>
      <c r="K100" s="81">
        <f>+K93+K98</f>
        <v>10.994876174210088</v>
      </c>
      <c r="L100" s="81">
        <f>+L93+L98</f>
        <v>80.226522081132714</v>
      </c>
      <c r="M100" s="81">
        <f>+M93+M98</f>
        <v>16.810294530154295</v>
      </c>
      <c r="N100" s="79"/>
      <c r="O100" s="46">
        <f>+O93+O98</f>
        <v>-21.990449861774316</v>
      </c>
      <c r="P100" s="46">
        <f>+P93+P98</f>
        <v>22.924710424710419</v>
      </c>
      <c r="Q100" s="81">
        <f>+Q93+Q98</f>
        <v>50.301098122564653</v>
      </c>
      <c r="R100" s="81">
        <f>+R93+R98</f>
        <v>9.952736917820534</v>
      </c>
      <c r="S100" s="81">
        <f>+S93+S98</f>
        <v>15.851647936109392</v>
      </c>
      <c r="T100" s="79"/>
      <c r="U100" s="46">
        <f>+U93+U98</f>
        <v>37.456445993031352</v>
      </c>
      <c r="V100" s="46">
        <f>+V93+V98</f>
        <v>12.376659994619889</v>
      </c>
      <c r="W100" s="81">
        <f>+W93+W98</f>
        <v>-2.801120448179292</v>
      </c>
      <c r="X100" s="81">
        <f>+X93+X98</f>
        <v>0</v>
      </c>
      <c r="Y100" s="81">
        <f>+Y93+Y98</f>
        <v>15.862471896851932</v>
      </c>
    </row>
    <row r="101" spans="2:25 16262:16262" ht="13" thickTop="1" x14ac:dyDescent="0.25">
      <c r="E101" s="58"/>
      <c r="F101" s="95"/>
      <c r="G101" s="58"/>
      <c r="J101" s="23"/>
      <c r="K101" s="58"/>
      <c r="L101" s="58"/>
      <c r="M101" s="34"/>
      <c r="N101" s="34"/>
      <c r="P101" s="23"/>
      <c r="Q101" s="58"/>
      <c r="R101" s="58"/>
      <c r="S101" s="34"/>
      <c r="V101" s="43"/>
      <c r="W101" s="58"/>
      <c r="X101" s="58"/>
      <c r="Y101" s="34"/>
    </row>
    <row r="102" spans="2:25 16262:16262" x14ac:dyDescent="0.25">
      <c r="B102" t="s">
        <v>75</v>
      </c>
      <c r="E102" s="135">
        <f t="shared" ref="E102:M102" si="80">E54/(E114)*1000</f>
        <v>35.1000351000351</v>
      </c>
      <c r="F102" s="122">
        <f>F54/(F114)*1000</f>
        <v>37.651563497128265</v>
      </c>
      <c r="G102" s="135">
        <f t="shared" si="80"/>
        <v>35.496230379433939</v>
      </c>
      <c r="H102" s="121"/>
      <c r="I102" s="120">
        <f t="shared" si="80"/>
        <v>43.915521287294673</v>
      </c>
      <c r="J102" s="120">
        <f t="shared" si="80"/>
        <v>43.297616444347256</v>
      </c>
      <c r="K102" s="120">
        <f t="shared" si="80"/>
        <v>48.035866780529467</v>
      </c>
      <c r="L102" s="120">
        <f t="shared" ref="L102" si="81">L54/(L114)*1000</f>
        <v>55.062366558040225</v>
      </c>
      <c r="M102" s="120">
        <f t="shared" si="80"/>
        <v>47.548332095811674</v>
      </c>
      <c r="N102" s="121"/>
      <c r="O102" s="120">
        <f t="shared" ref="O102:S102" si="82">O54/(O114)*1000</f>
        <v>56.169891932646394</v>
      </c>
      <c r="P102" s="120">
        <f t="shared" si="82"/>
        <v>57.553088803088805</v>
      </c>
      <c r="Q102" s="120">
        <f t="shared" si="82"/>
        <v>58.802692171448811</v>
      </c>
      <c r="R102" s="120">
        <f t="shared" si="82"/>
        <v>57.903254810285922</v>
      </c>
      <c r="S102" s="120">
        <f t="shared" si="82"/>
        <v>57.628605569252642</v>
      </c>
      <c r="U102" s="120">
        <f t="shared" ref="U102:Y102" si="83">U54/(U114)*1000</f>
        <v>80.886012941762061</v>
      </c>
      <c r="V102" s="120">
        <f t="shared" si="83"/>
        <v>48.95667461787658</v>
      </c>
      <c r="W102" s="120">
        <f t="shared" si="83"/>
        <v>52.839317545199897</v>
      </c>
      <c r="X102" s="120">
        <f t="shared" si="83"/>
        <v>0</v>
      </c>
      <c r="Y102" s="120">
        <f t="shared" si="83"/>
        <v>61.052504730155405</v>
      </c>
    </row>
    <row r="103" spans="2:25 16262:16262" x14ac:dyDescent="0.25">
      <c r="E103" s="58"/>
      <c r="F103" s="119"/>
      <c r="G103" s="58"/>
      <c r="J103" s="23"/>
      <c r="K103" s="58"/>
      <c r="L103" s="58"/>
      <c r="M103" s="34"/>
      <c r="N103" s="34"/>
      <c r="P103" s="23"/>
      <c r="Q103" s="58"/>
      <c r="R103" s="58"/>
      <c r="S103" s="34"/>
      <c r="V103" s="23"/>
      <c r="W103" s="58"/>
      <c r="X103" s="58"/>
      <c r="Y103" s="34"/>
    </row>
    <row r="104" spans="2:25 16262:16262" x14ac:dyDescent="0.25">
      <c r="E104" s="136"/>
      <c r="F104" s="137"/>
      <c r="G104" s="136"/>
      <c r="I104" s="32"/>
      <c r="J104" s="62"/>
      <c r="K104" s="62"/>
      <c r="L104" s="32"/>
      <c r="M104" s="32"/>
      <c r="N104" s="32"/>
      <c r="O104" s="32"/>
      <c r="P104" s="62"/>
      <c r="Q104" s="62"/>
      <c r="R104" s="32"/>
      <c r="S104" s="32"/>
    </row>
    <row r="105" spans="2:25 16262:16262" hidden="1" outlineLevel="1" x14ac:dyDescent="0.25">
      <c r="B105" s="76"/>
      <c r="E105" s="61"/>
      <c r="F105" s="61"/>
      <c r="G105" s="61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2:25 16262:16262" ht="6" hidden="1" customHeight="1" outlineLevel="1" x14ac:dyDescent="0.25">
      <c r="B106" s="76"/>
      <c r="E106" s="48"/>
      <c r="F106" s="48"/>
    </row>
    <row r="107" spans="2:25 16262:16262" hidden="1" outlineLevel="1" x14ac:dyDescent="0.25">
      <c r="B107" s="76"/>
      <c r="E107" s="48"/>
      <c r="F107" s="48"/>
    </row>
    <row r="108" spans="2:25 16262:16262" hidden="1" outlineLevel="1" x14ac:dyDescent="0.25">
      <c r="B108" s="76"/>
      <c r="E108" s="48"/>
      <c r="F108" s="48"/>
    </row>
    <row r="109" spans="2:25 16262:16262" ht="9" hidden="1" customHeight="1" outlineLevel="1" x14ac:dyDescent="0.25">
      <c r="B109" s="76"/>
      <c r="E109" s="48"/>
      <c r="F109" s="48"/>
    </row>
    <row r="110" spans="2:25 16262:16262" hidden="1" outlineLevel="1" x14ac:dyDescent="0.25">
      <c r="B110" s="76"/>
      <c r="E110" s="48"/>
      <c r="F110" s="48"/>
      <c r="M110" s="32"/>
      <c r="N110" s="32"/>
      <c r="S110" s="32"/>
    </row>
    <row r="111" spans="2:25 16262:16262" ht="14.5" hidden="1" outlineLevel="1" x14ac:dyDescent="0.25">
      <c r="B111" s="77"/>
      <c r="E111" s="48"/>
      <c r="F111" s="48"/>
    </row>
    <row r="112" spans="2:25 16262:16262" ht="14.5" hidden="1" outlineLevel="1" x14ac:dyDescent="0.25">
      <c r="B112" s="77"/>
      <c r="E112" s="48"/>
      <c r="F112" s="48"/>
    </row>
    <row r="113" spans="1:25" collapsed="1" x14ac:dyDescent="0.25">
      <c r="E113" s="48"/>
      <c r="F113" s="48"/>
      <c r="M113" s="42"/>
      <c r="N113" s="42"/>
      <c r="S113" s="42"/>
    </row>
    <row r="114" spans="1:25" s="34" customFormat="1" hidden="1" x14ac:dyDescent="0.25">
      <c r="B114" s="34" t="s">
        <v>60</v>
      </c>
      <c r="E114" s="85">
        <v>34188</v>
      </c>
      <c r="F114" s="86">
        <v>6268</v>
      </c>
      <c r="G114" s="85">
        <f>E114+F114-1</f>
        <v>40455</v>
      </c>
      <c r="I114" s="106">
        <v>8949</v>
      </c>
      <c r="J114" s="106">
        <v>9146</v>
      </c>
      <c r="K114" s="106">
        <v>9368</v>
      </c>
      <c r="L114" s="106">
        <v>8899</v>
      </c>
      <c r="M114" s="106">
        <v>36363</v>
      </c>
      <c r="N114" s="106"/>
      <c r="O114" s="106">
        <v>7958</v>
      </c>
      <c r="P114" s="106">
        <v>8288</v>
      </c>
      <c r="Q114" s="106">
        <v>8469</v>
      </c>
      <c r="R114" s="106">
        <v>8341.5</v>
      </c>
      <c r="S114" s="106">
        <f>SUM(O114:R114)</f>
        <v>33056.5</v>
      </c>
      <c r="U114" s="106">
        <v>8036</v>
      </c>
      <c r="V114" s="106">
        <v>7843.67</v>
      </c>
      <c r="W114" s="106">
        <v>7854</v>
      </c>
      <c r="X114" s="106">
        <v>9.9999999999999995E-7</v>
      </c>
      <c r="Y114" s="140">
        <f>SUM(U114:X114)</f>
        <v>23733.670000999999</v>
      </c>
    </row>
    <row r="115" spans="1:25" s="34" customFormat="1" ht="12" customHeight="1" x14ac:dyDescent="0.25">
      <c r="D115" s="107"/>
      <c r="I115" s="106">
        <v>0</v>
      </c>
      <c r="J115" s="106">
        <v>0</v>
      </c>
      <c r="K115" s="106">
        <v>0</v>
      </c>
      <c r="L115" s="108">
        <v>0</v>
      </c>
      <c r="M115" s="106">
        <f>+I115+J115+K115+L115</f>
        <v>0</v>
      </c>
      <c r="N115" s="106"/>
      <c r="O115" s="106">
        <v>0</v>
      </c>
      <c r="P115" s="106">
        <v>0</v>
      </c>
      <c r="Q115" s="106">
        <v>0</v>
      </c>
      <c r="R115" s="108">
        <v>0</v>
      </c>
      <c r="S115" s="106">
        <f>+O115+P115+Q115+R115</f>
        <v>0</v>
      </c>
    </row>
    <row r="116" spans="1:25" x14ac:dyDescent="0.25">
      <c r="A116" s="34"/>
      <c r="B116" s="34"/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1:25" x14ac:dyDescent="0.25">
      <c r="A117" s="34"/>
      <c r="B117" s="34"/>
      <c r="C117" s="34"/>
      <c r="D117" s="34"/>
      <c r="H117" s="34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</row>
    <row r="118" spans="1:25" x14ac:dyDescent="0.25">
      <c r="A118" s="34"/>
      <c r="B118" s="34"/>
      <c r="C118" s="34"/>
      <c r="D118" s="34"/>
      <c r="H118" s="34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</row>
    <row r="119" spans="1:25" x14ac:dyDescent="0.25">
      <c r="A119" s="34"/>
      <c r="B119" s="34"/>
      <c r="C119" s="34"/>
      <c r="D119" s="34"/>
      <c r="H119" s="34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</row>
    <row r="120" spans="1:25" x14ac:dyDescent="0.25">
      <c r="A120" s="34"/>
      <c r="B120" s="34"/>
      <c r="C120" s="34"/>
      <c r="D120" s="34"/>
      <c r="H120" s="34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</row>
    <row r="121" spans="1:25" x14ac:dyDescent="0.25">
      <c r="A121" s="34"/>
      <c r="B121" s="34"/>
      <c r="C121" s="34"/>
      <c r="D121" s="34"/>
      <c r="H121" s="34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</row>
    <row r="122" spans="1:25" x14ac:dyDescent="0.25">
      <c r="A122" s="34"/>
      <c r="B122" s="34"/>
      <c r="C122" s="34"/>
      <c r="D122" s="34"/>
      <c r="H122" s="34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</row>
    <row r="123" spans="1:25" x14ac:dyDescent="0.25">
      <c r="A123" s="34"/>
      <c r="B123" s="34"/>
      <c r="C123" s="34"/>
      <c r="D123" s="34"/>
      <c r="H123" s="34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</row>
    <row r="124" spans="1:25" x14ac:dyDescent="0.25">
      <c r="J124" s="32"/>
      <c r="M124" s="32"/>
      <c r="N124" s="32"/>
      <c r="O124" s="32"/>
      <c r="P124" s="32"/>
      <c r="Q124" s="32"/>
      <c r="R124" s="32"/>
      <c r="S124" s="32"/>
    </row>
    <row r="125" spans="1:25" x14ac:dyDescent="0.25">
      <c r="J125" s="32"/>
      <c r="M125" s="32"/>
      <c r="N125" s="32"/>
      <c r="O125" s="32"/>
      <c r="P125" s="32"/>
      <c r="Q125" s="32"/>
      <c r="R125" s="32"/>
      <c r="S125" s="32"/>
    </row>
    <row r="126" spans="1:25" x14ac:dyDescent="0.25">
      <c r="J126" s="32"/>
      <c r="M126" s="32"/>
      <c r="N126" s="32"/>
      <c r="O126" s="32"/>
      <c r="P126" s="32"/>
      <c r="Q126" s="32"/>
      <c r="R126" s="32"/>
      <c r="S126" s="32"/>
    </row>
    <row r="127" spans="1:25" x14ac:dyDescent="0.25">
      <c r="J127" s="32"/>
      <c r="M127" s="32"/>
      <c r="N127" s="32"/>
      <c r="O127" s="32"/>
      <c r="P127" s="32"/>
      <c r="Q127" s="32"/>
      <c r="R127" s="32"/>
      <c r="S127" s="32"/>
    </row>
    <row r="128" spans="1:25" x14ac:dyDescent="0.25">
      <c r="J128" s="32"/>
      <c r="M128" s="32"/>
      <c r="N128" s="32"/>
      <c r="O128" s="32"/>
      <c r="P128" s="32"/>
      <c r="Q128" s="32"/>
      <c r="R128" s="32"/>
      <c r="S128" s="32"/>
    </row>
    <row r="129" spans="10:19" x14ac:dyDescent="0.25">
      <c r="J129" s="32"/>
      <c r="M129" s="32"/>
      <c r="N129" s="32"/>
      <c r="O129" s="32"/>
      <c r="P129" s="32"/>
      <c r="Q129" s="32"/>
      <c r="R129" s="32"/>
      <c r="S129" s="32"/>
    </row>
    <row r="130" spans="10:19" x14ac:dyDescent="0.25">
      <c r="J130" s="32"/>
      <c r="M130" s="32"/>
      <c r="N130" s="32"/>
      <c r="O130" s="32"/>
      <c r="P130" s="32"/>
      <c r="Q130" s="32"/>
      <c r="R130" s="32"/>
      <c r="S130" s="32"/>
    </row>
  </sheetData>
  <pageMargins left="0.5" right="0.5" top="0.5" bottom="0.3" header="0" footer="0"/>
  <pageSetup scale="45" orientation="landscape" r:id="rId1"/>
  <ignoredErrors>
    <ignoredError sqref="G39 G28 M28 M39 S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32"/>
  <sheetViews>
    <sheetView showGridLines="0" workbookViewId="0">
      <selection activeCell="B2" sqref="B2"/>
    </sheetView>
  </sheetViews>
  <sheetFormatPr defaultRowHeight="12.5" x14ac:dyDescent="0.25"/>
  <cols>
    <col min="1" max="1" width="4" customWidth="1"/>
    <col min="2" max="2" width="4.26953125" customWidth="1"/>
    <col min="3" max="3" width="25.453125" customWidth="1"/>
    <col min="4" max="4" width="2" customWidth="1"/>
    <col min="5" max="5" width="11.7265625" style="34" customWidth="1"/>
    <col min="6" max="6" width="9.7265625" style="34" customWidth="1"/>
    <col min="7" max="7" width="10.36328125" style="34" customWidth="1"/>
    <col min="8" max="8" width="2.6328125" customWidth="1"/>
    <col min="14" max="14" width="2.6328125" customWidth="1"/>
    <col min="20" max="20" width="2.6328125" customWidth="1"/>
  </cols>
  <sheetData>
    <row r="1" spans="1:25" x14ac:dyDescent="0.25">
      <c r="A1" t="s">
        <v>20</v>
      </c>
    </row>
    <row r="2" spans="1:25" ht="18" x14ac:dyDescent="0.4">
      <c r="B2" s="22" t="s">
        <v>0</v>
      </c>
    </row>
    <row r="4" spans="1:25" x14ac:dyDescent="0.25">
      <c r="F4" s="90"/>
      <c r="H4" s="34"/>
    </row>
    <row r="5" spans="1:25" s="11" customFormat="1" ht="16" thickBot="1" x14ac:dyDescent="0.4">
      <c r="B5" s="24" t="s">
        <v>44</v>
      </c>
      <c r="C5" s="25"/>
      <c r="D5" s="88"/>
      <c r="E5" s="97" t="s">
        <v>50</v>
      </c>
      <c r="F5" s="104" t="s">
        <v>51</v>
      </c>
      <c r="G5" s="97" t="s">
        <v>52</v>
      </c>
      <c r="H5" s="48"/>
      <c r="I5" s="26"/>
      <c r="J5" s="26"/>
      <c r="K5" s="26"/>
      <c r="L5" s="26"/>
      <c r="M5" s="26"/>
      <c r="O5" s="26"/>
      <c r="P5" s="26"/>
      <c r="Q5" s="26"/>
      <c r="R5" s="26"/>
      <c r="S5" s="26"/>
      <c r="U5" s="26"/>
      <c r="V5" s="26"/>
      <c r="W5" s="26"/>
      <c r="X5" s="26"/>
      <c r="Y5" s="26"/>
    </row>
    <row r="6" spans="1:25" s="11" customFormat="1" ht="6" customHeight="1" thickTop="1" x14ac:dyDescent="0.3">
      <c r="A6" s="12"/>
      <c r="B6"/>
      <c r="C6" s="13"/>
      <c r="D6" s="14"/>
      <c r="E6" s="48"/>
      <c r="F6" s="90"/>
      <c r="G6" s="48"/>
      <c r="H6" s="48"/>
    </row>
    <row r="7" spans="1:25" s="11" customFormat="1" ht="13" x14ac:dyDescent="0.3">
      <c r="A7" s="12"/>
      <c r="B7"/>
      <c r="C7" s="13"/>
      <c r="D7" s="27"/>
      <c r="E7" s="87" t="s">
        <v>47</v>
      </c>
      <c r="F7" s="105" t="s">
        <v>47</v>
      </c>
      <c r="G7" s="87" t="s">
        <v>47</v>
      </c>
      <c r="H7" s="48"/>
      <c r="I7" s="31" t="s">
        <v>53</v>
      </c>
      <c r="J7" s="31" t="s">
        <v>54</v>
      </c>
      <c r="K7" s="31" t="s">
        <v>55</v>
      </c>
      <c r="L7" s="31" t="s">
        <v>56</v>
      </c>
      <c r="M7" s="31" t="s">
        <v>1</v>
      </c>
      <c r="O7" s="31" t="s">
        <v>76</v>
      </c>
      <c r="P7" s="31" t="s">
        <v>77</v>
      </c>
      <c r="Q7" s="31" t="s">
        <v>78</v>
      </c>
      <c r="R7" s="31" t="s">
        <v>79</v>
      </c>
      <c r="S7" s="31" t="s">
        <v>1</v>
      </c>
      <c r="U7" s="31" t="s">
        <v>82</v>
      </c>
      <c r="V7" s="31" t="s">
        <v>83</v>
      </c>
      <c r="W7" s="31" t="s">
        <v>84</v>
      </c>
      <c r="X7" s="31" t="s">
        <v>85</v>
      </c>
      <c r="Y7" s="31" t="s">
        <v>1</v>
      </c>
    </row>
    <row r="8" spans="1:25" s="11" customFormat="1" ht="13" x14ac:dyDescent="0.3">
      <c r="B8" s="35" t="s">
        <v>8</v>
      </c>
      <c r="C8" s="15"/>
      <c r="D8"/>
      <c r="E8" s="48"/>
      <c r="F8" s="90"/>
      <c r="G8" s="48"/>
      <c r="H8" s="48"/>
    </row>
    <row r="9" spans="1:25" s="11" customFormat="1" x14ac:dyDescent="0.25">
      <c r="B9" s="5" t="s">
        <v>11</v>
      </c>
      <c r="C9" s="15"/>
      <c r="D9" s="20"/>
      <c r="E9" s="66">
        <v>42</v>
      </c>
      <c r="F9" s="98">
        <v>38</v>
      </c>
      <c r="G9" s="66">
        <v>42</v>
      </c>
      <c r="H9" s="66"/>
      <c r="I9" s="16">
        <v>38</v>
      </c>
      <c r="J9" s="66">
        <v>39</v>
      </c>
      <c r="K9" s="66">
        <v>40</v>
      </c>
      <c r="L9" s="66">
        <v>40</v>
      </c>
      <c r="M9" s="66">
        <v>39</v>
      </c>
      <c r="O9" s="16">
        <v>38</v>
      </c>
      <c r="P9" s="66">
        <v>38</v>
      </c>
      <c r="Q9" s="66">
        <v>36</v>
      </c>
      <c r="R9" s="66">
        <v>36</v>
      </c>
      <c r="S9" s="66">
        <v>37</v>
      </c>
      <c r="U9" s="16">
        <v>35</v>
      </c>
      <c r="V9" s="66">
        <v>34</v>
      </c>
      <c r="W9" s="66">
        <v>33</v>
      </c>
      <c r="X9" s="66">
        <v>0</v>
      </c>
      <c r="Y9" s="66">
        <v>34</v>
      </c>
    </row>
    <row r="10" spans="1:25" s="11" customFormat="1" x14ac:dyDescent="0.25">
      <c r="B10" s="5" t="s">
        <v>12</v>
      </c>
      <c r="C10" s="15"/>
      <c r="D10" s="20"/>
      <c r="E10" s="66">
        <v>25</v>
      </c>
      <c r="F10" s="98">
        <v>23</v>
      </c>
      <c r="G10" s="66">
        <v>24</v>
      </c>
      <c r="H10" s="48"/>
      <c r="I10" s="16">
        <v>20</v>
      </c>
      <c r="J10" s="66">
        <v>19</v>
      </c>
      <c r="K10" s="66">
        <v>19</v>
      </c>
      <c r="L10" s="66">
        <v>18</v>
      </c>
      <c r="M10" s="66">
        <v>19</v>
      </c>
      <c r="O10" s="16">
        <v>18</v>
      </c>
      <c r="P10" s="66">
        <v>16</v>
      </c>
      <c r="Q10" s="66">
        <v>19</v>
      </c>
      <c r="R10" s="66">
        <v>19</v>
      </c>
      <c r="S10" s="66">
        <v>18</v>
      </c>
      <c r="U10" s="16">
        <v>20</v>
      </c>
      <c r="V10" s="66">
        <v>19</v>
      </c>
      <c r="W10" s="66">
        <v>18</v>
      </c>
      <c r="X10" s="66">
        <v>0</v>
      </c>
      <c r="Y10" s="66">
        <v>19</v>
      </c>
    </row>
    <row r="11" spans="1:25" s="11" customFormat="1" x14ac:dyDescent="0.25">
      <c r="B11" s="5" t="s">
        <v>13</v>
      </c>
      <c r="C11" s="15"/>
      <c r="D11" s="20"/>
      <c r="E11" s="66">
        <v>3</v>
      </c>
      <c r="F11" s="98">
        <v>2</v>
      </c>
      <c r="G11" s="66">
        <v>3</v>
      </c>
      <c r="H11" s="48"/>
      <c r="I11" s="16">
        <v>2</v>
      </c>
      <c r="J11" s="66">
        <v>3</v>
      </c>
      <c r="K11" s="66">
        <v>3</v>
      </c>
      <c r="L11" s="66">
        <v>1</v>
      </c>
      <c r="M11" s="66">
        <v>2</v>
      </c>
      <c r="O11" s="16">
        <v>0</v>
      </c>
      <c r="P11" s="66">
        <v>0</v>
      </c>
      <c r="Q11" s="66">
        <v>0</v>
      </c>
      <c r="R11" s="66">
        <v>0</v>
      </c>
      <c r="S11" s="66">
        <v>0</v>
      </c>
      <c r="U11" s="16">
        <v>0</v>
      </c>
      <c r="V11" s="66">
        <v>0</v>
      </c>
      <c r="W11" s="66">
        <v>0</v>
      </c>
      <c r="X11" s="66">
        <v>0</v>
      </c>
      <c r="Y11" s="66">
        <v>0</v>
      </c>
    </row>
    <row r="12" spans="1:25" s="11" customFormat="1" x14ac:dyDescent="0.25">
      <c r="B12" s="5" t="s">
        <v>15</v>
      </c>
      <c r="C12" s="15"/>
      <c r="D12" s="20"/>
      <c r="E12" s="70">
        <f t="shared" ref="E12:F12" si="0">SUM(E9:E11)</f>
        <v>70</v>
      </c>
      <c r="F12" s="99">
        <f t="shared" si="0"/>
        <v>63</v>
      </c>
      <c r="G12" s="70">
        <f>SUM(G9:G11)</f>
        <v>69</v>
      </c>
      <c r="H12" s="48"/>
      <c r="I12" s="17">
        <f>SUM(I9:I11)</f>
        <v>60</v>
      </c>
      <c r="J12" s="17">
        <f>SUM(J9:J11)</f>
        <v>61</v>
      </c>
      <c r="K12" s="70">
        <f>SUM(K9:K11)</f>
        <v>62</v>
      </c>
      <c r="L12" s="70">
        <f>SUM(L9:L11)</f>
        <v>59</v>
      </c>
      <c r="M12" s="70">
        <f>SUM(M9:M11)</f>
        <v>60</v>
      </c>
      <c r="O12" s="17">
        <f>SUM(O9:O11)</f>
        <v>56</v>
      </c>
      <c r="P12" s="17">
        <f>SUM(P9:P11)</f>
        <v>54</v>
      </c>
      <c r="Q12" s="70">
        <f>SUM(Q9:Q11)</f>
        <v>55</v>
      </c>
      <c r="R12" s="70">
        <f>SUM(R9:R11)</f>
        <v>55</v>
      </c>
      <c r="S12" s="70">
        <f>SUM(S9:S11)</f>
        <v>55</v>
      </c>
      <c r="U12" s="17">
        <f>SUM(U9:U11)</f>
        <v>55</v>
      </c>
      <c r="V12" s="17">
        <f>SUM(V9:V11)</f>
        <v>53</v>
      </c>
      <c r="W12" s="70">
        <f>SUM(W9:W11)</f>
        <v>51</v>
      </c>
      <c r="X12" s="70">
        <f>SUM(X9:X11)</f>
        <v>0</v>
      </c>
      <c r="Y12" s="70">
        <f>SUM(Y9:Y11)</f>
        <v>53</v>
      </c>
    </row>
    <row r="13" spans="1:25" s="11" customFormat="1" x14ac:dyDescent="0.25">
      <c r="B13" s="18"/>
      <c r="C13" s="7"/>
      <c r="D13" s="20"/>
      <c r="E13" s="71"/>
      <c r="F13" s="100"/>
      <c r="G13" s="71"/>
      <c r="H13" s="48"/>
      <c r="I13" s="30"/>
      <c r="J13" s="30"/>
      <c r="K13" s="71"/>
      <c r="L13" s="71"/>
      <c r="M13" s="71"/>
      <c r="O13" s="30"/>
      <c r="P13" s="30"/>
      <c r="Q13" s="71"/>
      <c r="R13" s="71"/>
      <c r="S13" s="71"/>
      <c r="U13" s="30"/>
      <c r="V13" s="30"/>
      <c r="W13" s="71"/>
      <c r="X13" s="71"/>
      <c r="Y13" s="71"/>
    </row>
    <row r="14" spans="1:25" s="11" customFormat="1" ht="13" x14ac:dyDescent="0.3">
      <c r="B14" s="35" t="s">
        <v>9</v>
      </c>
      <c r="C14" s="15"/>
      <c r="D14" s="20"/>
      <c r="E14" s="71"/>
      <c r="F14" s="100"/>
      <c r="G14" s="71"/>
      <c r="H14" s="48"/>
      <c r="I14" s="30"/>
      <c r="J14" s="30"/>
      <c r="K14" s="71"/>
      <c r="L14" s="71"/>
      <c r="M14" s="71"/>
      <c r="O14" s="30"/>
      <c r="P14" s="30"/>
      <c r="Q14" s="71"/>
      <c r="R14" s="71"/>
      <c r="S14" s="71"/>
      <c r="U14" s="30"/>
      <c r="V14" s="30"/>
      <c r="W14" s="71"/>
      <c r="X14" s="71"/>
      <c r="Y14" s="71"/>
    </row>
    <row r="15" spans="1:25" s="11" customFormat="1" x14ac:dyDescent="0.25">
      <c r="B15" s="5" t="s">
        <v>11</v>
      </c>
      <c r="C15" s="15"/>
      <c r="D15" s="20"/>
      <c r="E15" s="66">
        <v>13</v>
      </c>
      <c r="F15" s="98">
        <v>12</v>
      </c>
      <c r="G15" s="66">
        <v>13</v>
      </c>
      <c r="H15" s="48"/>
      <c r="I15" s="16">
        <v>12</v>
      </c>
      <c r="J15" s="16">
        <v>13</v>
      </c>
      <c r="K15" s="66">
        <v>13</v>
      </c>
      <c r="L15" s="66">
        <v>12</v>
      </c>
      <c r="M15" s="66">
        <v>13</v>
      </c>
      <c r="O15" s="16">
        <v>9</v>
      </c>
      <c r="P15" s="16">
        <v>12</v>
      </c>
      <c r="Q15" s="66">
        <v>12</v>
      </c>
      <c r="R15" s="66">
        <v>11</v>
      </c>
      <c r="S15" s="66">
        <v>11</v>
      </c>
      <c r="U15" s="16">
        <v>11</v>
      </c>
      <c r="V15" s="16">
        <v>11</v>
      </c>
      <c r="W15" s="66">
        <v>11</v>
      </c>
      <c r="X15" s="66">
        <v>0</v>
      </c>
      <c r="Y15" s="66">
        <v>11</v>
      </c>
    </row>
    <row r="16" spans="1:25" s="11" customFormat="1" x14ac:dyDescent="0.25">
      <c r="B16" s="5" t="s">
        <v>13</v>
      </c>
      <c r="C16" s="15"/>
      <c r="D16" s="20"/>
      <c r="E16" s="66"/>
      <c r="F16" s="98"/>
      <c r="G16" s="66">
        <v>0</v>
      </c>
      <c r="H16" s="48"/>
      <c r="I16" s="16">
        <v>0</v>
      </c>
      <c r="J16" s="16">
        <v>0</v>
      </c>
      <c r="K16" s="66">
        <v>0</v>
      </c>
      <c r="L16" s="66">
        <v>0</v>
      </c>
      <c r="M16" s="66">
        <v>0</v>
      </c>
      <c r="O16" s="16">
        <v>0</v>
      </c>
      <c r="P16" s="16">
        <v>0</v>
      </c>
      <c r="Q16" s="66">
        <v>0</v>
      </c>
      <c r="R16" s="66">
        <v>0</v>
      </c>
      <c r="S16" s="66">
        <v>0</v>
      </c>
      <c r="U16" s="16">
        <v>0</v>
      </c>
      <c r="V16" s="16">
        <v>0</v>
      </c>
      <c r="W16" s="66">
        <v>0</v>
      </c>
      <c r="X16" s="66">
        <v>0</v>
      </c>
      <c r="Y16" s="66">
        <v>0</v>
      </c>
    </row>
    <row r="17" spans="2:25" s="11" customFormat="1" x14ac:dyDescent="0.25">
      <c r="B17" s="5" t="s">
        <v>15</v>
      </c>
      <c r="C17" s="15"/>
      <c r="D17" s="20"/>
      <c r="E17" s="72">
        <f t="shared" ref="E17:F17" si="1">SUM(E15:E16)</f>
        <v>13</v>
      </c>
      <c r="F17" s="101">
        <f t="shared" si="1"/>
        <v>12</v>
      </c>
      <c r="G17" s="72">
        <f>SUM(G15:G16)</f>
        <v>13</v>
      </c>
      <c r="H17" s="48"/>
      <c r="I17" s="19">
        <f>SUM(I15:I16)</f>
        <v>12</v>
      </c>
      <c r="J17" s="19">
        <f>SUM(J15:J16)</f>
        <v>13</v>
      </c>
      <c r="K17" s="72">
        <f>SUM(K15:K16)</f>
        <v>13</v>
      </c>
      <c r="L17" s="72">
        <f>SUM(L15:L16)</f>
        <v>12</v>
      </c>
      <c r="M17" s="72">
        <f>SUM(M15:M16)</f>
        <v>13</v>
      </c>
      <c r="O17" s="19">
        <f>SUM(O15:O16)</f>
        <v>9</v>
      </c>
      <c r="P17" s="19">
        <f>SUM(P15:P16)</f>
        <v>12</v>
      </c>
      <c r="Q17" s="72">
        <f>SUM(Q15:Q16)</f>
        <v>12</v>
      </c>
      <c r="R17" s="72">
        <f>SUM(R15:R16)</f>
        <v>11</v>
      </c>
      <c r="S17" s="72">
        <f>SUM(S15:S16)</f>
        <v>11</v>
      </c>
      <c r="U17" s="19">
        <f>SUM(U15:U16)</f>
        <v>11</v>
      </c>
      <c r="V17" s="19">
        <f>SUM(V15:V16)</f>
        <v>11</v>
      </c>
      <c r="W17" s="72">
        <f>SUM(W15:W16)</f>
        <v>11</v>
      </c>
      <c r="X17" s="72">
        <f>SUM(X15:X16)</f>
        <v>0</v>
      </c>
      <c r="Y17" s="72">
        <f>SUM(Y15:Y16)</f>
        <v>11</v>
      </c>
    </row>
    <row r="18" spans="2:25" s="11" customFormat="1" x14ac:dyDescent="0.25">
      <c r="B18" s="18"/>
      <c r="C18" s="7"/>
      <c r="D18" s="20"/>
      <c r="E18" s="71"/>
      <c r="F18" s="100"/>
      <c r="G18" s="71"/>
      <c r="H18" s="48"/>
      <c r="I18" s="30"/>
      <c r="J18" s="30"/>
      <c r="K18" s="71"/>
      <c r="L18" s="71"/>
      <c r="M18" s="71"/>
      <c r="O18" s="30"/>
      <c r="P18" s="30"/>
      <c r="Q18" s="71"/>
      <c r="R18" s="71"/>
      <c r="S18" s="71"/>
      <c r="U18" s="30"/>
      <c r="V18" s="30"/>
      <c r="W18" s="71"/>
      <c r="X18" s="71"/>
      <c r="Y18" s="71"/>
    </row>
    <row r="19" spans="2:25" s="11" customFormat="1" ht="13" x14ac:dyDescent="0.3">
      <c r="B19" s="36" t="s">
        <v>10</v>
      </c>
      <c r="C19"/>
      <c r="D19" s="20"/>
      <c r="E19" s="71"/>
      <c r="F19" s="100"/>
      <c r="G19" s="71"/>
      <c r="H19" s="48"/>
      <c r="I19" s="30"/>
      <c r="J19" s="30"/>
      <c r="K19" s="71"/>
      <c r="L19" s="71"/>
      <c r="M19" s="71"/>
      <c r="O19" s="30"/>
      <c r="P19" s="30"/>
      <c r="Q19" s="71"/>
      <c r="R19" s="71"/>
      <c r="S19" s="71"/>
      <c r="U19" s="30"/>
      <c r="V19" s="30"/>
      <c r="W19" s="71"/>
      <c r="X19" s="71"/>
      <c r="Y19" s="71"/>
    </row>
    <row r="20" spans="2:25" s="11" customFormat="1" x14ac:dyDescent="0.25">
      <c r="B20" s="5" t="s">
        <v>11</v>
      </c>
      <c r="C20" s="20"/>
      <c r="D20" s="20"/>
      <c r="E20" s="66">
        <v>147</v>
      </c>
      <c r="F20" s="98">
        <v>138</v>
      </c>
      <c r="G20" s="66">
        <v>145</v>
      </c>
      <c r="H20" s="48"/>
      <c r="I20" s="16">
        <v>135</v>
      </c>
      <c r="J20" s="16">
        <v>135</v>
      </c>
      <c r="K20" s="66">
        <v>135</v>
      </c>
      <c r="L20" s="66">
        <v>131</v>
      </c>
      <c r="M20" s="66">
        <v>135</v>
      </c>
      <c r="O20" s="16">
        <v>121</v>
      </c>
      <c r="P20" s="16">
        <v>132</v>
      </c>
      <c r="Q20" s="66">
        <v>131</v>
      </c>
      <c r="R20" s="66">
        <v>129</v>
      </c>
      <c r="S20" s="66">
        <v>129</v>
      </c>
      <c r="U20" s="16">
        <v>119</v>
      </c>
      <c r="V20" s="16">
        <v>119</v>
      </c>
      <c r="W20" s="66">
        <v>122</v>
      </c>
      <c r="X20" s="66">
        <v>0</v>
      </c>
      <c r="Y20" s="66">
        <v>120</v>
      </c>
    </row>
    <row r="21" spans="2:25" s="11" customFormat="1" x14ac:dyDescent="0.25">
      <c r="B21" s="5" t="s">
        <v>12</v>
      </c>
      <c r="C21"/>
      <c r="D21" s="20"/>
      <c r="E21" s="66">
        <v>2</v>
      </c>
      <c r="F21" s="98">
        <v>1</v>
      </c>
      <c r="G21" s="66">
        <v>2</v>
      </c>
      <c r="H21" s="48"/>
      <c r="I21" s="16">
        <v>1</v>
      </c>
      <c r="J21" s="16">
        <v>1</v>
      </c>
      <c r="K21" s="66">
        <v>1</v>
      </c>
      <c r="L21" s="66">
        <v>1</v>
      </c>
      <c r="M21" s="66">
        <v>1</v>
      </c>
      <c r="O21" s="16">
        <v>1</v>
      </c>
      <c r="P21" s="16">
        <v>1</v>
      </c>
      <c r="Q21" s="66">
        <v>1</v>
      </c>
      <c r="R21" s="66">
        <v>1</v>
      </c>
      <c r="S21" s="66">
        <v>1</v>
      </c>
      <c r="U21" s="16">
        <v>1</v>
      </c>
      <c r="V21" s="16">
        <v>1</v>
      </c>
      <c r="W21" s="66">
        <v>1</v>
      </c>
      <c r="X21" s="66">
        <v>0</v>
      </c>
      <c r="Y21" s="66">
        <v>1</v>
      </c>
    </row>
    <row r="22" spans="2:25" s="11" customFormat="1" x14ac:dyDescent="0.25">
      <c r="B22" s="5" t="s">
        <v>13</v>
      </c>
      <c r="C22"/>
      <c r="D22" s="20"/>
      <c r="E22" s="66">
        <v>4</v>
      </c>
      <c r="F22" s="98">
        <v>3</v>
      </c>
      <c r="G22" s="66">
        <v>4</v>
      </c>
      <c r="H22" s="48"/>
      <c r="I22" s="16">
        <v>4</v>
      </c>
      <c r="J22" s="16">
        <v>5</v>
      </c>
      <c r="K22" s="66">
        <v>5</v>
      </c>
      <c r="L22" s="66">
        <v>2</v>
      </c>
      <c r="M22" s="66">
        <v>4</v>
      </c>
      <c r="O22" s="16">
        <v>0</v>
      </c>
      <c r="P22" s="16">
        <v>0</v>
      </c>
      <c r="Q22" s="66">
        <v>0</v>
      </c>
      <c r="R22" s="66">
        <v>0</v>
      </c>
      <c r="S22" s="66">
        <v>0</v>
      </c>
      <c r="U22" s="16">
        <v>0</v>
      </c>
      <c r="V22" s="16">
        <v>0</v>
      </c>
      <c r="W22" s="66">
        <v>0</v>
      </c>
      <c r="X22" s="66">
        <v>0</v>
      </c>
      <c r="Y22" s="66">
        <v>0</v>
      </c>
    </row>
    <row r="23" spans="2:25" s="11" customFormat="1" x14ac:dyDescent="0.25">
      <c r="B23" s="5" t="s">
        <v>14</v>
      </c>
      <c r="C23"/>
      <c r="D23" s="20"/>
      <c r="E23" s="66">
        <v>21</v>
      </c>
      <c r="F23" s="98">
        <v>23</v>
      </c>
      <c r="G23" s="66">
        <v>21</v>
      </c>
      <c r="H23" s="48"/>
      <c r="I23" s="16">
        <v>20</v>
      </c>
      <c r="J23" s="16">
        <v>20</v>
      </c>
      <c r="K23" s="66">
        <v>19</v>
      </c>
      <c r="L23" s="66">
        <v>19</v>
      </c>
      <c r="M23" s="66">
        <v>19</v>
      </c>
      <c r="O23" s="16">
        <v>19</v>
      </c>
      <c r="P23" s="16">
        <v>18</v>
      </c>
      <c r="Q23" s="66">
        <v>17</v>
      </c>
      <c r="R23" s="66">
        <v>17</v>
      </c>
      <c r="S23" s="66">
        <v>17</v>
      </c>
      <c r="U23" s="16">
        <v>16</v>
      </c>
      <c r="V23" s="16">
        <v>15</v>
      </c>
      <c r="W23" s="66">
        <v>15</v>
      </c>
      <c r="X23" s="66">
        <v>0</v>
      </c>
      <c r="Y23" s="66">
        <v>15</v>
      </c>
    </row>
    <row r="24" spans="2:25" s="11" customFormat="1" x14ac:dyDescent="0.25">
      <c r="B24" s="5" t="s">
        <v>15</v>
      </c>
      <c r="C24"/>
      <c r="D24" s="20"/>
      <c r="E24" s="72">
        <f t="shared" ref="E24:F24" si="2">SUM(E20:E23)</f>
        <v>174</v>
      </c>
      <c r="F24" s="101">
        <f t="shared" si="2"/>
        <v>165</v>
      </c>
      <c r="G24" s="72">
        <f>SUM(G20:G23)</f>
        <v>172</v>
      </c>
      <c r="H24" s="75"/>
      <c r="I24" s="19">
        <f>SUM(I20:I23)</f>
        <v>160</v>
      </c>
      <c r="J24" s="19">
        <f>SUM(J20:J23)</f>
        <v>161</v>
      </c>
      <c r="K24" s="72">
        <f>SUM(K20:K23)</f>
        <v>160</v>
      </c>
      <c r="L24" s="72">
        <f>SUM(L20:L23)</f>
        <v>153</v>
      </c>
      <c r="M24" s="72">
        <f>SUM(M20:M23)</f>
        <v>159</v>
      </c>
      <c r="O24" s="19">
        <f>SUM(O20:O23)</f>
        <v>141</v>
      </c>
      <c r="P24" s="19">
        <f>SUM(P20:P23)</f>
        <v>151</v>
      </c>
      <c r="Q24" s="72">
        <f>SUM(Q20:Q23)</f>
        <v>149</v>
      </c>
      <c r="R24" s="72">
        <f>SUM(R20:R23)</f>
        <v>147</v>
      </c>
      <c r="S24" s="72">
        <f>SUM(S20:S23)</f>
        <v>147</v>
      </c>
      <c r="U24" s="19">
        <f>SUM(U20:U23)</f>
        <v>136</v>
      </c>
      <c r="V24" s="19">
        <f>SUM(V20:V23)</f>
        <v>135</v>
      </c>
      <c r="W24" s="72">
        <f>SUM(W20:W23)</f>
        <v>138</v>
      </c>
      <c r="X24" s="72">
        <f>SUM(X20:X23)</f>
        <v>0</v>
      </c>
      <c r="Y24" s="72">
        <f>SUM(Y20:Y23)</f>
        <v>136</v>
      </c>
    </row>
    <row r="25" spans="2:25" s="11" customFormat="1" x14ac:dyDescent="0.25">
      <c r="B25"/>
      <c r="C25"/>
      <c r="D25" s="20"/>
      <c r="E25" s="71"/>
      <c r="F25" s="100"/>
      <c r="G25" s="71"/>
      <c r="H25" s="48"/>
      <c r="I25" s="30"/>
      <c r="J25" s="30"/>
      <c r="K25" s="71"/>
      <c r="L25" s="71"/>
      <c r="M25" s="71"/>
      <c r="O25" s="30"/>
      <c r="P25" s="30"/>
      <c r="Q25" s="71"/>
      <c r="R25" s="71"/>
      <c r="S25" s="71"/>
      <c r="U25" s="30"/>
      <c r="V25" s="30"/>
      <c r="W25" s="71"/>
      <c r="X25" s="71"/>
      <c r="Y25" s="71"/>
    </row>
    <row r="26" spans="2:25" s="11" customFormat="1" ht="15.5" thickBot="1" x14ac:dyDescent="0.35">
      <c r="B26" s="21" t="s">
        <v>30</v>
      </c>
      <c r="C26"/>
      <c r="D26" s="20"/>
      <c r="E26" s="73">
        <f t="shared" ref="E26:F26" si="3">E12+E17+(E24/6)</f>
        <v>112</v>
      </c>
      <c r="F26" s="102">
        <f t="shared" si="3"/>
        <v>102.5</v>
      </c>
      <c r="G26" s="73">
        <f>G12+G17+(G24/6)</f>
        <v>110.66666666666667</v>
      </c>
      <c r="H26" s="71"/>
      <c r="I26" s="56">
        <f>I12+I17+(I24/6)</f>
        <v>98.666666666666671</v>
      </c>
      <c r="J26" s="56">
        <f>J12+J17+(J24/6)</f>
        <v>100.83333333333333</v>
      </c>
      <c r="K26" s="73">
        <f>K12+K17+(K24/6)</f>
        <v>101.66666666666667</v>
      </c>
      <c r="L26" s="73">
        <f>L12+L17+(L24/6)</f>
        <v>96.5</v>
      </c>
      <c r="M26" s="73">
        <f>M12+M17+(M24/6)</f>
        <v>99.5</v>
      </c>
      <c r="O26" s="56">
        <f>O12+O17+(O24/6)-1</f>
        <v>87.5</v>
      </c>
      <c r="P26" s="56">
        <v>91</v>
      </c>
      <c r="Q26" s="73">
        <f>Q12+Q17+(Q24/6)</f>
        <v>91.833333333333329</v>
      </c>
      <c r="R26" s="73">
        <f>R12+R17+(R24/6)</f>
        <v>90.5</v>
      </c>
      <c r="S26" s="73">
        <f>S12+S17+(S24/6)</f>
        <v>90.5</v>
      </c>
      <c r="U26" s="56">
        <f>U12+U17+(U24/6)</f>
        <v>88.666666666666671</v>
      </c>
      <c r="V26" s="56">
        <f>V12+V17+(V24/6)-1</f>
        <v>85.5</v>
      </c>
      <c r="W26" s="73">
        <f>W12+W17+(W24/6)</f>
        <v>85</v>
      </c>
      <c r="X26" s="73">
        <f>X12+X17+(X24/6)</f>
        <v>0</v>
      </c>
      <c r="Y26" s="73">
        <f>Y12+Y17+(Y24/6)</f>
        <v>86.666666666666671</v>
      </c>
    </row>
    <row r="27" spans="2:25" s="11" customFormat="1" ht="13.5" thickTop="1" x14ac:dyDescent="0.3">
      <c r="B27" s="21"/>
      <c r="C27"/>
      <c r="D27" s="20"/>
      <c r="E27" s="75"/>
      <c r="F27" s="103"/>
      <c r="G27" s="66"/>
      <c r="H27" s="48"/>
    </row>
    <row r="28" spans="2:25" x14ac:dyDescent="0.25">
      <c r="H28" s="34"/>
    </row>
    <row r="29" spans="2:25" x14ac:dyDescent="0.25">
      <c r="B29" s="74" t="s">
        <v>33</v>
      </c>
      <c r="H29" s="34"/>
    </row>
    <row r="30" spans="2:25" ht="4.1500000000000004" customHeight="1" x14ac:dyDescent="0.25">
      <c r="B30" s="74"/>
      <c r="H30" s="34"/>
    </row>
    <row r="31" spans="2:25" x14ac:dyDescent="0.25">
      <c r="B31" s="74" t="s">
        <v>31</v>
      </c>
      <c r="H31" s="34"/>
    </row>
    <row r="32" spans="2:25" x14ac:dyDescent="0.25">
      <c r="B32" s="74" t="s">
        <v>32</v>
      </c>
      <c r="H32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M35"/>
  <sheetViews>
    <sheetView showGridLines="0" workbookViewId="0">
      <selection activeCell="B2" sqref="B2"/>
    </sheetView>
  </sheetViews>
  <sheetFormatPr defaultRowHeight="12.5" x14ac:dyDescent="0.25"/>
  <cols>
    <col min="1" max="1" width="4" customWidth="1"/>
    <col min="2" max="2" width="13.81640625" customWidth="1"/>
    <col min="3" max="3" width="37.81640625" customWidth="1"/>
    <col min="4" max="4" width="12.453125" bestFit="1" customWidth="1"/>
    <col min="5" max="5" width="2.1796875" customWidth="1"/>
    <col min="6" max="6" width="12" bestFit="1" customWidth="1"/>
    <col min="7" max="7" width="2.453125" customWidth="1"/>
    <col min="8" max="8" width="11.453125" customWidth="1"/>
    <col min="9" max="9" width="2.453125" customWidth="1"/>
    <col min="10" max="10" width="11.453125" customWidth="1"/>
    <col min="11" max="11" width="1.54296875" customWidth="1"/>
    <col min="12" max="12" width="9.1796875" customWidth="1"/>
  </cols>
  <sheetData>
    <row r="2" spans="2:12" ht="18" x14ac:dyDescent="0.4">
      <c r="B2" s="22" t="s">
        <v>0</v>
      </c>
    </row>
    <row r="3" spans="2:12" ht="14.25" customHeight="1" x14ac:dyDescent="0.4">
      <c r="B3" s="22"/>
    </row>
    <row r="5" spans="2:12" ht="16" thickBot="1" x14ac:dyDescent="0.4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2" ht="5.25" customHeight="1" thickTop="1" x14ac:dyDescent="0.25"/>
    <row r="7" spans="2:12" s="28" customFormat="1" ht="13" x14ac:dyDescent="0.3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7</v>
      </c>
      <c r="K7" s="38"/>
      <c r="L7" s="38"/>
    </row>
    <row r="8" spans="2:12" s="28" customFormat="1" ht="13" x14ac:dyDescent="0.3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1</v>
      </c>
    </row>
    <row r="9" spans="2:12" s="28" customFormat="1" x14ac:dyDescent="0.25"/>
    <row r="10" spans="2:12" s="28" customFormat="1" ht="13" x14ac:dyDescent="0.3">
      <c r="B10" s="82" t="s">
        <v>80</v>
      </c>
      <c r="C10" s="54"/>
    </row>
    <row r="11" spans="2:12" s="28" customFormat="1" ht="13" x14ac:dyDescent="0.3">
      <c r="B11" s="10" t="s">
        <v>36</v>
      </c>
    </row>
    <row r="12" spans="2:12" s="28" customFormat="1" x14ac:dyDescent="0.25">
      <c r="B12" t="s">
        <v>17</v>
      </c>
      <c r="D12" s="39">
        <v>155</v>
      </c>
      <c r="E12" s="39"/>
      <c r="F12" s="39">
        <v>96</v>
      </c>
      <c r="G12" s="39"/>
      <c r="H12" s="39">
        <v>0</v>
      </c>
      <c r="I12" s="39"/>
      <c r="J12" s="16">
        <v>0</v>
      </c>
      <c r="K12" s="39"/>
      <c r="L12" s="39">
        <f>SUM(D12:K12)</f>
        <v>251</v>
      </c>
    </row>
    <row r="13" spans="2:12" s="28" customFormat="1" x14ac:dyDescent="0.25">
      <c r="B13" s="11" t="s">
        <v>18</v>
      </c>
      <c r="D13" s="39">
        <v>27</v>
      </c>
      <c r="E13" s="39"/>
      <c r="F13" s="39">
        <v>16</v>
      </c>
      <c r="G13" s="39"/>
      <c r="H13" s="39">
        <v>0</v>
      </c>
      <c r="I13" s="39"/>
      <c r="J13" s="16">
        <v>0</v>
      </c>
      <c r="K13" s="39"/>
      <c r="L13" s="39">
        <f>SUM(D13:K13)</f>
        <v>43</v>
      </c>
    </row>
    <row r="14" spans="2:12" s="28" customFormat="1" x14ac:dyDescent="0.25">
      <c r="B14" s="49" t="s">
        <v>16</v>
      </c>
      <c r="D14" s="50">
        <f>+D13+D12</f>
        <v>182</v>
      </c>
      <c r="E14" s="39"/>
      <c r="F14" s="50">
        <f>+F13+F12</f>
        <v>112</v>
      </c>
      <c r="G14" s="39"/>
      <c r="H14" s="50">
        <f>+H13+H12</f>
        <v>0</v>
      </c>
      <c r="I14" s="39"/>
      <c r="J14" s="50">
        <f>+J13+J12</f>
        <v>0</v>
      </c>
      <c r="K14" s="39"/>
      <c r="L14" s="50">
        <f>+L13+L12</f>
        <v>294</v>
      </c>
    </row>
    <row r="15" spans="2:12" s="28" customFormat="1" x14ac:dyDescent="0.25">
      <c r="D15" s="40"/>
      <c r="E15" s="40"/>
      <c r="F15" s="40"/>
      <c r="G15" s="40"/>
      <c r="H15" s="40"/>
      <c r="I15" s="40"/>
      <c r="J15" s="40"/>
      <c r="K15" s="40"/>
      <c r="L15"/>
    </row>
    <row r="16" spans="2:12" s="28" customFormat="1" ht="13" x14ac:dyDescent="0.3">
      <c r="B16" s="10" t="s">
        <v>37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5">
      <c r="B17" t="s">
        <v>17</v>
      </c>
      <c r="D17" s="39">
        <v>36</v>
      </c>
      <c r="E17" s="39"/>
      <c r="F17" s="39">
        <v>0</v>
      </c>
      <c r="G17" s="39"/>
      <c r="H17" s="39">
        <v>0</v>
      </c>
      <c r="I17" s="39"/>
      <c r="J17" s="16">
        <v>0</v>
      </c>
      <c r="K17" s="39"/>
      <c r="L17" s="39">
        <f>SUM(D17:K17)</f>
        <v>36</v>
      </c>
    </row>
    <row r="18" spans="2:13" s="28" customFormat="1" x14ac:dyDescent="0.25">
      <c r="B18" s="11" t="s">
        <v>18</v>
      </c>
      <c r="D18" s="39">
        <v>2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2</v>
      </c>
    </row>
    <row r="19" spans="2:13" s="28" customFormat="1" x14ac:dyDescent="0.25">
      <c r="B19" s="49" t="s">
        <v>16</v>
      </c>
      <c r="D19" s="50">
        <f>+D18+D17</f>
        <v>38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0</v>
      </c>
      <c r="K19" s="39"/>
      <c r="L19" s="50">
        <f>+L18+L17</f>
        <v>38</v>
      </c>
    </row>
    <row r="20" spans="2:13" s="28" customFormat="1" x14ac:dyDescent="0.25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ht="13" x14ac:dyDescent="0.3">
      <c r="B21" s="10" t="s">
        <v>38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5">
      <c r="B22" t="s">
        <v>17</v>
      </c>
      <c r="D22" s="39">
        <v>399</v>
      </c>
      <c r="E22" s="39"/>
      <c r="F22" s="39">
        <v>6</v>
      </c>
      <c r="G22" s="39"/>
      <c r="H22" s="39">
        <v>0</v>
      </c>
      <c r="I22" s="39"/>
      <c r="J22" s="16">
        <v>53</v>
      </c>
      <c r="K22" s="39"/>
      <c r="L22" s="39">
        <f>SUM(D22:K22)</f>
        <v>458</v>
      </c>
    </row>
    <row r="23" spans="2:13" s="28" customFormat="1" x14ac:dyDescent="0.25">
      <c r="B23" s="11" t="s">
        <v>18</v>
      </c>
      <c r="D23" s="39">
        <v>52</v>
      </c>
      <c r="E23" s="39"/>
      <c r="F23" s="39">
        <v>1</v>
      </c>
      <c r="G23" s="39"/>
      <c r="H23" s="39">
        <v>0</v>
      </c>
      <c r="I23" s="39"/>
      <c r="J23" s="16">
        <v>0</v>
      </c>
      <c r="K23" s="39"/>
      <c r="L23" s="39">
        <f>SUM(D23:K23)</f>
        <v>53</v>
      </c>
    </row>
    <row r="24" spans="2:13" s="28" customFormat="1" x14ac:dyDescent="0.25">
      <c r="B24" s="49" t="s">
        <v>16</v>
      </c>
      <c r="D24" s="50">
        <f>+D23+D22</f>
        <v>451</v>
      </c>
      <c r="E24" s="39"/>
      <c r="F24" s="50">
        <f>+F23+F22</f>
        <v>7</v>
      </c>
      <c r="G24" s="39"/>
      <c r="H24" s="50">
        <f>+H23+H22</f>
        <v>0</v>
      </c>
      <c r="I24" s="39"/>
      <c r="J24" s="50">
        <f>+J23+J22</f>
        <v>53</v>
      </c>
      <c r="K24" s="39"/>
      <c r="L24" s="50">
        <f>+L23+L22</f>
        <v>511</v>
      </c>
    </row>
    <row r="25" spans="2:13" s="28" customFormat="1" x14ac:dyDescent="0.25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5" x14ac:dyDescent="0.3">
      <c r="B26" s="10" t="s">
        <v>39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5">
      <c r="B27" t="s">
        <v>17</v>
      </c>
      <c r="D27" s="53">
        <f>ROUND(D12+D17+D22/6,0)-1</f>
        <v>257</v>
      </c>
      <c r="E27" s="53"/>
      <c r="F27" s="53">
        <f>ROUND(F12+F17+F22/6,0)</f>
        <v>97</v>
      </c>
      <c r="G27" s="53"/>
      <c r="H27" s="53">
        <f>ROUND(H12+H17+H22/6,0)</f>
        <v>0</v>
      </c>
      <c r="I27" s="53"/>
      <c r="J27" s="53">
        <f>ROUND(J12+J17+J22/6,0)</f>
        <v>9</v>
      </c>
      <c r="K27" s="53"/>
      <c r="L27" s="53">
        <f>SUM(D27:K27)</f>
        <v>363</v>
      </c>
      <c r="M27" s="54"/>
    </row>
    <row r="28" spans="2:13" s="28" customFormat="1" x14ac:dyDescent="0.25">
      <c r="B28" s="11" t="s">
        <v>18</v>
      </c>
      <c r="D28" s="53">
        <f>ROUND(D13+D18+D23/6,0)</f>
        <v>38</v>
      </c>
      <c r="E28" s="53"/>
      <c r="F28" s="53">
        <f>ROUND(F13+F18+F23/6,0)</f>
        <v>16</v>
      </c>
      <c r="G28" s="53"/>
      <c r="H28" s="53">
        <f>ROUND(H13+H18+H23/6,0)</f>
        <v>0</v>
      </c>
      <c r="I28" s="53"/>
      <c r="J28" s="53">
        <f>ROUND(J13+J18+J23/6,0)</f>
        <v>0</v>
      </c>
      <c r="K28" s="53"/>
      <c r="L28" s="53">
        <f>SUM(D28:K28)</f>
        <v>54</v>
      </c>
      <c r="M28" s="54"/>
    </row>
    <row r="29" spans="2:13" s="28" customFormat="1" ht="13" thickBot="1" x14ac:dyDescent="0.3">
      <c r="B29" s="49" t="s">
        <v>16</v>
      </c>
      <c r="D29" s="55">
        <f>+D28+D27</f>
        <v>295</v>
      </c>
      <c r="E29" s="39"/>
      <c r="F29" s="55">
        <f>+F28+F27</f>
        <v>113</v>
      </c>
      <c r="G29" s="39"/>
      <c r="H29" s="55">
        <f>+H28+H27</f>
        <v>0</v>
      </c>
      <c r="I29" s="39"/>
      <c r="J29" s="55">
        <f>+J28+J27</f>
        <v>9</v>
      </c>
      <c r="K29" s="39"/>
      <c r="L29" s="55">
        <f>+L28+L27</f>
        <v>417</v>
      </c>
    </row>
    <row r="30" spans="2:13" ht="13" thickTop="1" x14ac:dyDescent="0.25"/>
    <row r="32" spans="2:13" x14ac:dyDescent="0.25">
      <c r="B32" s="74" t="s">
        <v>40</v>
      </c>
    </row>
    <row r="33" spans="2:2" ht="6" customHeight="1" x14ac:dyDescent="0.25">
      <c r="B33" s="74"/>
    </row>
    <row r="34" spans="2:2" x14ac:dyDescent="0.25">
      <c r="B34" s="74" t="s">
        <v>31</v>
      </c>
    </row>
    <row r="35" spans="2:2" x14ac:dyDescent="0.25">
      <c r="B35" s="74" t="s">
        <v>32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Dale, Larry</cp:lastModifiedBy>
  <cp:lastPrinted>2020-03-04T21:26:04Z</cp:lastPrinted>
  <dcterms:created xsi:type="dcterms:W3CDTF">2014-09-30T22:55:06Z</dcterms:created>
  <dcterms:modified xsi:type="dcterms:W3CDTF">2023-10-26T16:03:43Z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