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S:\CRCacctcorp\Earnings Release\2022\2Q 2022\"/>
    </mc:Choice>
  </mc:AlternateContent>
  <xr:revisionPtr revIDLastSave="0" documentId="13_ncr:1_{32F963F6-8D76-4939-87F5-012D1F07CD19}" xr6:coauthVersionLast="47" xr6:coauthVersionMax="47" xr10:uidLastSave="{00000000-0000-0000-0000-000000000000}"/>
  <bookViews>
    <workbookView xWindow="28680" yWindow="-120" windowWidth="29040" windowHeight="17640" xr2:uid="{00000000-000D-0000-FFFF-FFFF00000000}"/>
  </bookViews>
  <sheets>
    <sheet name="Statements of Income" sheetId="5" r:id="rId1"/>
    <sheet name="Production Statistics" sheetId="2" r:id="rId2"/>
    <sheet name="Reserves" sheetId="3" r:id="rId3"/>
  </sheets>
  <definedNames>
    <definedName name="_xlnm.Print_Area" localSheetId="1">'Production Statistics'!$A$1:$Q$32</definedName>
    <definedName name="_xlnm.Print_Area" localSheetId="0">'Statements of Income'!$B$1:$P$121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77" i="5" l="1"/>
  <c r="AC112" i="5"/>
  <c r="Y59" i="5" l="1"/>
  <c r="Y71" i="5"/>
  <c r="P27" i="5" l="1"/>
  <c r="P26" i="5"/>
  <c r="AB24" i="2"/>
  <c r="AA24" i="2"/>
  <c r="Z24" i="2"/>
  <c r="Y24" i="2"/>
  <c r="X24" i="2"/>
  <c r="AB17" i="2"/>
  <c r="AA17" i="2"/>
  <c r="Z17" i="2"/>
  <c r="Y17" i="2"/>
  <c r="X17" i="2"/>
  <c r="AB12" i="2"/>
  <c r="AA12" i="2"/>
  <c r="Z12" i="2"/>
  <c r="Y12" i="2"/>
  <c r="X12" i="2"/>
  <c r="AB79" i="5"/>
  <c r="AB71" i="5"/>
  <c r="AA77" i="5"/>
  <c r="AC113" i="5"/>
  <c r="AB95" i="5"/>
  <c r="AA95" i="5"/>
  <c r="Z95" i="5"/>
  <c r="Y95" i="5"/>
  <c r="AB94" i="5"/>
  <c r="AA94" i="5"/>
  <c r="Z94" i="5"/>
  <c r="Y94" i="5"/>
  <c r="AB90" i="5"/>
  <c r="AA90" i="5"/>
  <c r="Z90" i="5"/>
  <c r="Y90" i="5"/>
  <c r="AB87" i="5"/>
  <c r="AA87" i="5"/>
  <c r="Z87" i="5"/>
  <c r="Y87" i="5"/>
  <c r="AB86" i="5"/>
  <c r="AA86" i="5"/>
  <c r="Z86" i="5"/>
  <c r="Y86" i="5"/>
  <c r="AB85" i="5"/>
  <c r="AA85" i="5"/>
  <c r="Z85" i="5"/>
  <c r="Y85" i="5"/>
  <c r="AB84" i="5"/>
  <c r="AA84" i="5"/>
  <c r="Z84" i="5"/>
  <c r="Y84" i="5"/>
  <c r="AB83" i="5"/>
  <c r="AA83" i="5"/>
  <c r="Z83" i="5"/>
  <c r="Y83" i="5"/>
  <c r="Z79" i="5"/>
  <c r="AB77" i="5"/>
  <c r="Y77" i="5"/>
  <c r="AB76" i="5"/>
  <c r="AA76" i="5"/>
  <c r="Z76" i="5"/>
  <c r="Y76" i="5"/>
  <c r="AB75" i="5"/>
  <c r="AA75" i="5"/>
  <c r="Z75" i="5"/>
  <c r="Y75" i="5"/>
  <c r="AB74" i="5"/>
  <c r="AA74" i="5"/>
  <c r="Z74" i="5"/>
  <c r="Y74" i="5"/>
  <c r="AB73" i="5"/>
  <c r="AA73" i="5"/>
  <c r="Z73" i="5"/>
  <c r="Y73" i="5"/>
  <c r="AB72" i="5"/>
  <c r="AA72" i="5"/>
  <c r="Z72" i="5"/>
  <c r="Y72" i="5"/>
  <c r="AA71" i="5"/>
  <c r="Z71" i="5"/>
  <c r="AB70" i="5"/>
  <c r="AA70" i="5"/>
  <c r="Z70" i="5"/>
  <c r="Y70" i="5"/>
  <c r="AB69" i="5"/>
  <c r="AA69" i="5"/>
  <c r="Z69" i="5"/>
  <c r="Y69" i="5"/>
  <c r="AB68" i="5"/>
  <c r="AA68" i="5"/>
  <c r="Z68" i="5"/>
  <c r="Y68" i="5"/>
  <c r="AB67" i="5"/>
  <c r="AA67" i="5"/>
  <c r="Z67" i="5"/>
  <c r="Y67" i="5"/>
  <c r="AB63" i="5"/>
  <c r="AA63" i="5"/>
  <c r="Z63" i="5"/>
  <c r="Y63" i="5"/>
  <c r="AB62" i="5"/>
  <c r="AA62" i="5"/>
  <c r="Z62" i="5"/>
  <c r="Y62" i="5"/>
  <c r="AB61" i="5"/>
  <c r="AA61" i="5"/>
  <c r="Z61" i="5"/>
  <c r="Y61" i="5"/>
  <c r="AB60" i="5"/>
  <c r="AA60" i="5"/>
  <c r="Z60" i="5"/>
  <c r="Y60" i="5"/>
  <c r="Y64" i="5" s="1"/>
  <c r="AB59" i="5"/>
  <c r="AA59" i="5"/>
  <c r="Z59" i="5"/>
  <c r="AC57" i="5"/>
  <c r="AB57" i="5"/>
  <c r="AA57" i="5"/>
  <c r="Z57" i="5"/>
  <c r="Y57" i="5"/>
  <c r="AC52" i="5"/>
  <c r="AB51" i="5"/>
  <c r="AB53" i="5" s="1"/>
  <c r="AB100" i="5" s="1"/>
  <c r="AA51" i="5"/>
  <c r="AA53" i="5" s="1"/>
  <c r="AA100" i="5" s="1"/>
  <c r="Z51" i="5"/>
  <c r="Z53" i="5" s="1"/>
  <c r="Z100" i="5" s="1"/>
  <c r="Y51" i="5"/>
  <c r="Y53" i="5" s="1"/>
  <c r="Y100" i="5" s="1"/>
  <c r="AB45" i="5"/>
  <c r="AA45" i="5"/>
  <c r="Z45" i="5"/>
  <c r="Y45" i="5"/>
  <c r="AC44" i="5"/>
  <c r="AC95" i="5" s="1"/>
  <c r="AC43" i="5"/>
  <c r="AC45" i="5" s="1"/>
  <c r="AC39" i="5"/>
  <c r="AC90" i="5" s="1"/>
  <c r="AC37" i="5"/>
  <c r="AC87" i="5" s="1"/>
  <c r="AC36" i="5"/>
  <c r="AC86" i="5" s="1"/>
  <c r="AC35" i="5"/>
  <c r="AC85" i="5" s="1"/>
  <c r="AC34" i="5"/>
  <c r="AC84" i="5" s="1"/>
  <c r="AC33" i="5"/>
  <c r="AC83" i="5" s="1"/>
  <c r="AA79" i="5"/>
  <c r="Y79" i="5"/>
  <c r="AB28" i="5"/>
  <c r="AA28" i="5"/>
  <c r="Z28" i="5"/>
  <c r="Y28" i="5"/>
  <c r="AC26" i="5"/>
  <c r="AC76" i="5" s="1"/>
  <c r="AC25" i="5"/>
  <c r="AC75" i="5" s="1"/>
  <c r="AC24" i="5"/>
  <c r="AC74" i="5" s="1"/>
  <c r="AC23" i="5"/>
  <c r="AC73" i="5" s="1"/>
  <c r="AC22" i="5"/>
  <c r="AC72" i="5" s="1"/>
  <c r="AC21" i="5"/>
  <c r="AC71" i="5" s="1"/>
  <c r="AC20" i="5"/>
  <c r="AC70" i="5" s="1"/>
  <c r="AC19" i="5"/>
  <c r="AC69" i="5" s="1"/>
  <c r="AC18" i="5"/>
  <c r="AC68" i="5" s="1"/>
  <c r="AC17" i="5"/>
  <c r="AC67" i="5" s="1"/>
  <c r="AB14" i="5"/>
  <c r="AA14" i="5"/>
  <c r="AA30" i="5" s="1"/>
  <c r="AA38" i="5" s="1"/>
  <c r="AA40" i="5" s="1"/>
  <c r="Z14" i="5"/>
  <c r="Y14" i="5"/>
  <c r="AC13" i="5"/>
  <c r="AC63" i="5" s="1"/>
  <c r="AC12" i="5"/>
  <c r="AC62" i="5" s="1"/>
  <c r="AC11" i="5"/>
  <c r="AC61" i="5" s="1"/>
  <c r="AC10" i="5"/>
  <c r="AC60" i="5" s="1"/>
  <c r="AC9" i="5"/>
  <c r="AC59" i="5" s="1"/>
  <c r="V29" i="5"/>
  <c r="V79" i="5" s="1"/>
  <c r="U29" i="5"/>
  <c r="S29" i="5"/>
  <c r="K29" i="5"/>
  <c r="I29" i="5"/>
  <c r="G29" i="5"/>
  <c r="D28" i="3"/>
  <c r="V71" i="5"/>
  <c r="V59" i="5"/>
  <c r="V77" i="5"/>
  <c r="W43" i="5"/>
  <c r="V95" i="5"/>
  <c r="V94" i="5"/>
  <c r="V90" i="5"/>
  <c r="V87" i="5"/>
  <c r="V86" i="5"/>
  <c r="V85" i="5"/>
  <c r="V84" i="5"/>
  <c r="V83" i="5"/>
  <c r="V76" i="5"/>
  <c r="V75" i="5"/>
  <c r="V74" i="5"/>
  <c r="V73" i="5"/>
  <c r="V72" i="5"/>
  <c r="V70" i="5"/>
  <c r="V69" i="5"/>
  <c r="V68" i="5"/>
  <c r="V67" i="5"/>
  <c r="V63" i="5"/>
  <c r="V62" i="5"/>
  <c r="V61" i="5"/>
  <c r="V60" i="5"/>
  <c r="X26" i="2" l="1"/>
  <c r="AC64" i="5"/>
  <c r="Z78" i="5"/>
  <c r="V78" i="5"/>
  <c r="Z64" i="5"/>
  <c r="Y78" i="5"/>
  <c r="Y80" i="5" s="1"/>
  <c r="AC94" i="5"/>
  <c r="AC96" i="5" s="1"/>
  <c r="AB96" i="5"/>
  <c r="AB64" i="5"/>
  <c r="AB78" i="5"/>
  <c r="Y30" i="5"/>
  <c r="Y38" i="5" s="1"/>
  <c r="Y40" i="5" s="1"/>
  <c r="Y47" i="5" s="1"/>
  <c r="AA96" i="5"/>
  <c r="Y26" i="2"/>
  <c r="AA26" i="2"/>
  <c r="Z26" i="2"/>
  <c r="AB26" i="2"/>
  <c r="AA78" i="5"/>
  <c r="Y96" i="5"/>
  <c r="Z96" i="5"/>
  <c r="AA47" i="5"/>
  <c r="Z30" i="5"/>
  <c r="Z38" i="5" s="1"/>
  <c r="Z40" i="5" s="1"/>
  <c r="Z47" i="5" s="1"/>
  <c r="AB30" i="5"/>
  <c r="AB38" i="5" s="1"/>
  <c r="AB40" i="5" s="1"/>
  <c r="AB47" i="5" s="1"/>
  <c r="AA64" i="5"/>
  <c r="AC14" i="5"/>
  <c r="AC27" i="5"/>
  <c r="AC77" i="5" s="1"/>
  <c r="AC78" i="5" s="1"/>
  <c r="AC51" i="5"/>
  <c r="AC53" i="5" s="1"/>
  <c r="AC100" i="5" s="1"/>
  <c r="AC29" i="5"/>
  <c r="AC79" i="5" s="1"/>
  <c r="V64" i="5"/>
  <c r="V80" i="5" s="1"/>
  <c r="V96" i="5"/>
  <c r="AB80" i="5" l="1"/>
  <c r="AB89" i="5" s="1"/>
  <c r="AB91" i="5" s="1"/>
  <c r="AB98" i="5" s="1"/>
  <c r="AA80" i="5"/>
  <c r="AA89" i="5" s="1"/>
  <c r="AA91" i="5" s="1"/>
  <c r="AA98" i="5" s="1"/>
  <c r="AC80" i="5"/>
  <c r="AC89" i="5" s="1"/>
  <c r="Z80" i="5"/>
  <c r="Z89" i="5" s="1"/>
  <c r="Z91" i="5" s="1"/>
  <c r="Z98" i="5" s="1"/>
  <c r="AC28" i="5"/>
  <c r="AC30" i="5" s="1"/>
  <c r="AC38" i="5" s="1"/>
  <c r="AC40" i="5" s="1"/>
  <c r="AC47" i="5" s="1"/>
  <c r="V89" i="5"/>
  <c r="V91" i="5" s="1"/>
  <c r="V98" i="5" s="1"/>
  <c r="Y89" i="5" l="1"/>
  <c r="Y91" i="5" s="1"/>
  <c r="Y98" i="5" s="1"/>
  <c r="AC91" i="5"/>
  <c r="AC98" i="5" s="1"/>
  <c r="M52" i="5"/>
  <c r="W52" i="5" l="1"/>
  <c r="Q52" i="5" l="1"/>
  <c r="V51" i="5" l="1"/>
  <c r="V53" i="5" s="1"/>
  <c r="V100" i="5" s="1"/>
  <c r="U51" i="5"/>
  <c r="U53" i="5" s="1"/>
  <c r="U100" i="5" s="1"/>
  <c r="T51" i="5"/>
  <c r="T53" i="5" s="1"/>
  <c r="T100" i="5" s="1"/>
  <c r="S51" i="5"/>
  <c r="S53" i="5" s="1"/>
  <c r="S100" i="5" s="1"/>
  <c r="M51" i="5"/>
  <c r="M53" i="5" s="1"/>
  <c r="M100" i="5" s="1"/>
  <c r="K51" i="5"/>
  <c r="K53" i="5" s="1"/>
  <c r="K100" i="5" s="1"/>
  <c r="I51" i="5"/>
  <c r="I53" i="5" s="1"/>
  <c r="I100" i="5" s="1"/>
  <c r="G51" i="5"/>
  <c r="G53" i="5" s="1"/>
  <c r="G100" i="5" s="1"/>
  <c r="E51" i="5"/>
  <c r="E53" i="5" s="1"/>
  <c r="E100" i="5" s="1"/>
  <c r="U79" i="5"/>
  <c r="T79" i="5"/>
  <c r="S79" i="5"/>
  <c r="M79" i="5"/>
  <c r="K79" i="5"/>
  <c r="I79" i="5"/>
  <c r="G79" i="5"/>
  <c r="E79" i="5"/>
  <c r="W29" i="5"/>
  <c r="W79" i="5" s="1"/>
  <c r="U77" i="5"/>
  <c r="Q29" i="5" l="1"/>
  <c r="S37" i="5"/>
  <c r="K37" i="5"/>
  <c r="I37" i="5"/>
  <c r="G37" i="5"/>
  <c r="T27" i="5"/>
  <c r="S27" i="5"/>
  <c r="W26" i="5"/>
  <c r="W76" i="5" s="1"/>
  <c r="M27" i="5"/>
  <c r="M26" i="5"/>
  <c r="M76" i="5" s="1"/>
  <c r="K27" i="5"/>
  <c r="K26" i="5"/>
  <c r="K76" i="5" s="1"/>
  <c r="I27" i="5"/>
  <c r="I26" i="5"/>
  <c r="I76" i="5" s="1"/>
  <c r="G27" i="5"/>
  <c r="G26" i="5"/>
  <c r="G76" i="5" s="1"/>
  <c r="E27" i="5"/>
  <c r="E26" i="5"/>
  <c r="E76" i="5" s="1"/>
  <c r="Q26" i="5" l="1"/>
  <c r="U76" i="5"/>
  <c r="T76" i="5"/>
  <c r="S76" i="5"/>
  <c r="G87" i="5" l="1"/>
  <c r="G36" i="5" l="1"/>
  <c r="G86" i="5" s="1"/>
  <c r="I36" i="5"/>
  <c r="I86" i="5" s="1"/>
  <c r="K36" i="5"/>
  <c r="I95" i="5"/>
  <c r="I94" i="5"/>
  <c r="I87" i="5"/>
  <c r="I85" i="5"/>
  <c r="I84" i="5"/>
  <c r="I83" i="5"/>
  <c r="I77" i="5"/>
  <c r="I75" i="5"/>
  <c r="I74" i="5"/>
  <c r="I73" i="5"/>
  <c r="I72" i="5"/>
  <c r="I71" i="5"/>
  <c r="I69" i="5"/>
  <c r="I68" i="5"/>
  <c r="I67" i="5"/>
  <c r="I62" i="5"/>
  <c r="I60" i="5"/>
  <c r="I59" i="5"/>
  <c r="G95" i="5"/>
  <c r="G94" i="5"/>
  <c r="G85" i="5"/>
  <c r="G84" i="5"/>
  <c r="G83" i="5"/>
  <c r="G77" i="5"/>
  <c r="G75" i="5"/>
  <c r="G74" i="5"/>
  <c r="G73" i="5"/>
  <c r="G72" i="5"/>
  <c r="G71" i="5"/>
  <c r="G69" i="5"/>
  <c r="G67" i="5"/>
  <c r="G62" i="5"/>
  <c r="G60" i="5"/>
  <c r="G59" i="5"/>
  <c r="E95" i="5"/>
  <c r="E94" i="5"/>
  <c r="E86" i="5"/>
  <c r="E85" i="5"/>
  <c r="E84" i="5"/>
  <c r="E83" i="5"/>
  <c r="E77" i="5"/>
  <c r="E72" i="5"/>
  <c r="E71" i="5"/>
  <c r="E70" i="5"/>
  <c r="E69" i="5"/>
  <c r="E67" i="5"/>
  <c r="E63" i="5"/>
  <c r="E60" i="5"/>
  <c r="E59" i="5"/>
  <c r="T77" i="5" l="1"/>
  <c r="V24" i="2" l="1"/>
  <c r="U24" i="2"/>
  <c r="T24" i="2"/>
  <c r="S24" i="2"/>
  <c r="R24" i="2"/>
  <c r="V17" i="2"/>
  <c r="U17" i="2"/>
  <c r="T17" i="2"/>
  <c r="S17" i="2"/>
  <c r="R17" i="2"/>
  <c r="V12" i="2"/>
  <c r="U12" i="2"/>
  <c r="T12" i="2"/>
  <c r="S12" i="2"/>
  <c r="R12" i="2"/>
  <c r="U63" i="5"/>
  <c r="S63" i="5"/>
  <c r="W113" i="5"/>
  <c r="U95" i="5"/>
  <c r="T95" i="5"/>
  <c r="S95" i="5"/>
  <c r="U94" i="5"/>
  <c r="T94" i="5"/>
  <c r="S94" i="5"/>
  <c r="U90" i="5"/>
  <c r="T90" i="5"/>
  <c r="S90" i="5"/>
  <c r="U87" i="5"/>
  <c r="T87" i="5"/>
  <c r="S87" i="5"/>
  <c r="U86" i="5"/>
  <c r="T86" i="5"/>
  <c r="S86" i="5"/>
  <c r="U85" i="5"/>
  <c r="T85" i="5"/>
  <c r="S85" i="5"/>
  <c r="U84" i="5"/>
  <c r="T84" i="5"/>
  <c r="S84" i="5"/>
  <c r="U83" i="5"/>
  <c r="T83" i="5"/>
  <c r="S83" i="5"/>
  <c r="U75" i="5"/>
  <c r="T75" i="5"/>
  <c r="S75" i="5"/>
  <c r="U74" i="5"/>
  <c r="T74" i="5"/>
  <c r="S74" i="5"/>
  <c r="U73" i="5"/>
  <c r="T73" i="5"/>
  <c r="S73" i="5"/>
  <c r="U72" i="5"/>
  <c r="T72" i="5"/>
  <c r="S72" i="5"/>
  <c r="U71" i="5"/>
  <c r="T71" i="5"/>
  <c r="S71" i="5"/>
  <c r="U70" i="5"/>
  <c r="T70" i="5"/>
  <c r="S70" i="5"/>
  <c r="U69" i="5"/>
  <c r="T69" i="5"/>
  <c r="S69" i="5"/>
  <c r="T68" i="5"/>
  <c r="S68" i="5"/>
  <c r="U67" i="5"/>
  <c r="T67" i="5"/>
  <c r="S67" i="5"/>
  <c r="U62" i="5"/>
  <c r="T62" i="5"/>
  <c r="S62" i="5"/>
  <c r="U61" i="5"/>
  <c r="T61" i="5"/>
  <c r="S61" i="5"/>
  <c r="U60" i="5"/>
  <c r="T60" i="5"/>
  <c r="S60" i="5"/>
  <c r="U59" i="5"/>
  <c r="T59" i="5"/>
  <c r="S59" i="5"/>
  <c r="W57" i="5"/>
  <c r="V57" i="5"/>
  <c r="U57" i="5"/>
  <c r="T57" i="5"/>
  <c r="S57" i="5"/>
  <c r="U45" i="5"/>
  <c r="T45" i="5"/>
  <c r="S45" i="5"/>
  <c r="V45" i="5"/>
  <c r="W39" i="5"/>
  <c r="W90" i="5" s="1"/>
  <c r="W37" i="5"/>
  <c r="W87" i="5" s="1"/>
  <c r="W36" i="5"/>
  <c r="W35" i="5"/>
  <c r="W34" i="5"/>
  <c r="W84" i="5" s="1"/>
  <c r="W33" i="5"/>
  <c r="V28" i="5"/>
  <c r="S77" i="5"/>
  <c r="W25" i="5"/>
  <c r="W24" i="5"/>
  <c r="W74" i="5" s="1"/>
  <c r="W23" i="5"/>
  <c r="W73" i="5" s="1"/>
  <c r="W22" i="5"/>
  <c r="W21" i="5"/>
  <c r="W71" i="5" s="1"/>
  <c r="W20" i="5"/>
  <c r="W19" i="5"/>
  <c r="W69" i="5" s="1"/>
  <c r="U28" i="5"/>
  <c r="W17" i="5"/>
  <c r="U14" i="5"/>
  <c r="U30" i="5" s="1"/>
  <c r="T14" i="5"/>
  <c r="S14" i="5"/>
  <c r="V14" i="5"/>
  <c r="T63" i="5"/>
  <c r="W12" i="5"/>
  <c r="W11" i="5"/>
  <c r="W10" i="5"/>
  <c r="W9" i="5"/>
  <c r="W51" i="5" s="1"/>
  <c r="W53" i="5" s="1"/>
  <c r="W100" i="5" s="1"/>
  <c r="V30" i="5" l="1"/>
  <c r="V38" i="5" s="1"/>
  <c r="V40" i="5" s="1"/>
  <c r="V47" i="5" s="1"/>
  <c r="T78" i="5"/>
  <c r="W83" i="5"/>
  <c r="W62" i="5"/>
  <c r="W72" i="5"/>
  <c r="U96" i="5"/>
  <c r="W86" i="5"/>
  <c r="W61" i="5"/>
  <c r="W94" i="5"/>
  <c r="T96" i="5"/>
  <c r="S64" i="5"/>
  <c r="V26" i="2"/>
  <c r="R26" i="2"/>
  <c r="S26" i="2"/>
  <c r="T26" i="2"/>
  <c r="U26" i="2"/>
  <c r="S96" i="5"/>
  <c r="W75" i="5"/>
  <c r="W85" i="5"/>
  <c r="W18" i="5"/>
  <c r="W68" i="5" s="1"/>
  <c r="U64" i="5"/>
  <c r="U68" i="5"/>
  <c r="U78" i="5" s="1"/>
  <c r="W59" i="5"/>
  <c r="W13" i="5"/>
  <c r="W63" i="5" s="1"/>
  <c r="W70" i="5"/>
  <c r="T64" i="5"/>
  <c r="W60" i="5"/>
  <c r="S78" i="5"/>
  <c r="U38" i="5"/>
  <c r="U40" i="5" s="1"/>
  <c r="U47" i="5" s="1"/>
  <c r="W44" i="5"/>
  <c r="W95" i="5" s="1"/>
  <c r="W27" i="5"/>
  <c r="W77" i="5" s="1"/>
  <c r="S28" i="5"/>
  <c r="S30" i="5" s="1"/>
  <c r="W67" i="5"/>
  <c r="T28" i="5"/>
  <c r="U80" i="5" l="1"/>
  <c r="U89" i="5" s="1"/>
  <c r="U91" i="5" s="1"/>
  <c r="U98" i="5" s="1"/>
  <c r="T80" i="5"/>
  <c r="S80" i="5"/>
  <c r="S89" i="5" s="1"/>
  <c r="W78" i="5"/>
  <c r="S38" i="5"/>
  <c r="S40" i="5" s="1"/>
  <c r="S47" i="5" s="1"/>
  <c r="T30" i="5"/>
  <c r="T38" i="5" s="1"/>
  <c r="T40" i="5" s="1"/>
  <c r="T47" i="5" s="1"/>
  <c r="W64" i="5"/>
  <c r="W80" i="5" s="1"/>
  <c r="W14" i="5"/>
  <c r="W45" i="5"/>
  <c r="W96" i="5"/>
  <c r="W28" i="5"/>
  <c r="F28" i="3"/>
  <c r="W30" i="5" l="1"/>
  <c r="W38" i="5" s="1"/>
  <c r="W40" i="5" s="1"/>
  <c r="W47" i="5" s="1"/>
  <c r="W89" i="5"/>
  <c r="T89" i="5"/>
  <c r="T91" i="5" s="1"/>
  <c r="T98" i="5" s="1"/>
  <c r="S91" i="5"/>
  <c r="S98" i="5" s="1"/>
  <c r="O24" i="2"/>
  <c r="O17" i="2"/>
  <c r="O12" i="2"/>
  <c r="O26" i="2" s="1"/>
  <c r="N24" i="2"/>
  <c r="N17" i="2"/>
  <c r="N12" i="2"/>
  <c r="W91" i="5" l="1"/>
  <c r="W98" i="5" s="1"/>
  <c r="N26" i="2"/>
  <c r="P79" i="5" l="1"/>
  <c r="P76" i="5" l="1"/>
  <c r="P95" i="5" l="1"/>
  <c r="P90" i="5"/>
  <c r="Q39" i="5"/>
  <c r="P87" i="5"/>
  <c r="P85" i="5"/>
  <c r="P84" i="5"/>
  <c r="P83" i="5"/>
  <c r="P77" i="5"/>
  <c r="P75" i="5"/>
  <c r="P74" i="5"/>
  <c r="P73" i="5"/>
  <c r="P72" i="5"/>
  <c r="P71" i="5"/>
  <c r="P69" i="5"/>
  <c r="P68" i="5"/>
  <c r="P67" i="5"/>
  <c r="P63" i="5"/>
  <c r="P62" i="5"/>
  <c r="P61" i="5"/>
  <c r="P60" i="5"/>
  <c r="O51" i="5"/>
  <c r="O53" i="5" s="1"/>
  <c r="P59" i="5" l="1"/>
  <c r="P64" i="5" s="1"/>
  <c r="P51" i="5"/>
  <c r="P53" i="5" s="1"/>
  <c r="P100" i="5" s="1"/>
  <c r="Q24" i="5"/>
  <c r="Q20" i="5"/>
  <c r="Q17" i="5"/>
  <c r="Q11" i="5"/>
  <c r="Q36" i="5"/>
  <c r="P86" i="5"/>
  <c r="Q35" i="5"/>
  <c r="Q12" i="5"/>
  <c r="Q23" i="5"/>
  <c r="P78" i="5"/>
  <c r="Q44" i="5"/>
  <c r="P45" i="5"/>
  <c r="P94" i="5"/>
  <c r="P96" i="5" s="1"/>
  <c r="Q37" i="5"/>
  <c r="Q34" i="5"/>
  <c r="Q33" i="5"/>
  <c r="Q25" i="5"/>
  <c r="Q21" i="5"/>
  <c r="Q19" i="5"/>
  <c r="P28" i="5"/>
  <c r="Q10" i="5"/>
  <c r="Q22" i="5"/>
  <c r="O45" i="5"/>
  <c r="Q43" i="5"/>
  <c r="Q18" i="5"/>
  <c r="P14" i="5"/>
  <c r="Q9" i="5"/>
  <c r="Q51" i="5" s="1"/>
  <c r="Q53" i="5" s="1"/>
  <c r="G13" i="5"/>
  <c r="G63" i="5" s="1"/>
  <c r="G11" i="5"/>
  <c r="G61" i="5" s="1"/>
  <c r="I13" i="5"/>
  <c r="I63" i="5" s="1"/>
  <c r="I11" i="5"/>
  <c r="I61" i="5" s="1"/>
  <c r="P80" i="5" l="1"/>
  <c r="P89" i="5" s="1"/>
  <c r="P91" i="5" s="1"/>
  <c r="P98" i="5" s="1"/>
  <c r="P30" i="5"/>
  <c r="P38" i="5" s="1"/>
  <c r="P40" i="5" s="1"/>
  <c r="P47" i="5" s="1"/>
  <c r="Q45" i="5"/>
  <c r="K84" i="5" l="1"/>
  <c r="O79" i="5" l="1"/>
  <c r="O100" i="5"/>
  <c r="O76" i="5"/>
  <c r="Q112" i="5"/>
  <c r="O59" i="5"/>
  <c r="O61" i="5"/>
  <c r="O95" i="5"/>
  <c r="O83" i="5"/>
  <c r="O70" i="5"/>
  <c r="O67" i="5"/>
  <c r="O68" i="5"/>
  <c r="O62" i="5"/>
  <c r="O60" i="5"/>
  <c r="O71" i="5"/>
  <c r="O72" i="5"/>
  <c r="O69" i="5"/>
  <c r="O74" i="5"/>
  <c r="O75" i="5"/>
  <c r="O86" i="5"/>
  <c r="O90" i="5"/>
  <c r="O85" i="5"/>
  <c r="O73" i="5"/>
  <c r="O84" i="5"/>
  <c r="O94" i="5"/>
  <c r="O87" i="5"/>
  <c r="Q79" i="5" l="1"/>
  <c r="Q100" i="5"/>
  <c r="Q76" i="5"/>
  <c r="O96" i="5"/>
  <c r="Q90" i="5"/>
  <c r="Q95" i="5"/>
  <c r="Q86" i="5"/>
  <c r="Q85" i="5"/>
  <c r="Q59" i="5"/>
  <c r="Q69" i="5"/>
  <c r="Q74" i="5"/>
  <c r="Q60" i="5"/>
  <c r="Q70" i="5"/>
  <c r="Q73" i="5"/>
  <c r="Q61" i="5"/>
  <c r="Q67" i="5"/>
  <c r="Q71" i="5"/>
  <c r="Q75" i="5"/>
  <c r="Q84" i="5"/>
  <c r="Q62" i="5"/>
  <c r="Q72" i="5"/>
  <c r="Q94" i="5"/>
  <c r="Q83" i="5"/>
  <c r="Q68" i="5"/>
  <c r="Q87" i="5"/>
  <c r="Q96" i="5" l="1"/>
  <c r="O63" i="5"/>
  <c r="O64" i="5" s="1"/>
  <c r="Q13" i="5"/>
  <c r="O14" i="5"/>
  <c r="K13" i="5"/>
  <c r="K77" i="5"/>
  <c r="K24" i="5"/>
  <c r="K25" i="5"/>
  <c r="K23" i="5"/>
  <c r="Q63" i="5" l="1"/>
  <c r="Q64" i="5" s="1"/>
  <c r="Q14" i="5"/>
  <c r="O77" i="5"/>
  <c r="O78" i="5" s="1"/>
  <c r="O80" i="5" s="1"/>
  <c r="Q27" i="5"/>
  <c r="Q28" i="5" s="1"/>
  <c r="O28" i="5"/>
  <c r="K75" i="5"/>
  <c r="K74" i="5"/>
  <c r="K73" i="5"/>
  <c r="K72" i="5"/>
  <c r="K62" i="5"/>
  <c r="K61" i="5"/>
  <c r="K60" i="5"/>
  <c r="O89" i="5" l="1"/>
  <c r="O91" i="5" s="1"/>
  <c r="O98" i="5" s="1"/>
  <c r="O30" i="5"/>
  <c r="O38" i="5" s="1"/>
  <c r="O40" i="5" s="1"/>
  <c r="O47" i="5" s="1"/>
  <c r="Q77" i="5"/>
  <c r="Q78" i="5" s="1"/>
  <c r="Q80" i="5" s="1"/>
  <c r="Q30" i="5"/>
  <c r="M74" i="5"/>
  <c r="K95" i="5"/>
  <c r="K94" i="5"/>
  <c r="K90" i="5"/>
  <c r="I90" i="5"/>
  <c r="G90" i="5"/>
  <c r="E90" i="5"/>
  <c r="K87" i="5"/>
  <c r="K86" i="5"/>
  <c r="K85" i="5"/>
  <c r="K83" i="5"/>
  <c r="K71" i="5"/>
  <c r="K69" i="5"/>
  <c r="K68" i="5"/>
  <c r="K67" i="5"/>
  <c r="K63" i="5"/>
  <c r="K59" i="5"/>
  <c r="M57" i="5"/>
  <c r="K57" i="5"/>
  <c r="I57" i="5"/>
  <c r="K45" i="5"/>
  <c r="I45" i="5"/>
  <c r="G45" i="5"/>
  <c r="E45" i="5"/>
  <c r="E37" i="5"/>
  <c r="E87" i="5" s="1"/>
  <c r="M86" i="5"/>
  <c r="K28" i="5"/>
  <c r="I28" i="5"/>
  <c r="M70" i="5"/>
  <c r="G18" i="5"/>
  <c r="G68" i="5" s="1"/>
  <c r="G78" i="5" s="1"/>
  <c r="E18" i="5"/>
  <c r="E68" i="5" s="1"/>
  <c r="K14" i="5"/>
  <c r="K30" i="5" s="1"/>
  <c r="I14" i="5"/>
  <c r="G14" i="5"/>
  <c r="E14" i="5"/>
  <c r="I30" i="5" l="1"/>
  <c r="Q89" i="5"/>
  <c r="Q91" i="5" s="1"/>
  <c r="Q98" i="5" s="1"/>
  <c r="Q38" i="5"/>
  <c r="Q40" i="5" s="1"/>
  <c r="Q47" i="5" s="1"/>
  <c r="K96" i="5"/>
  <c r="G96" i="5"/>
  <c r="E96" i="5"/>
  <c r="M63" i="5"/>
  <c r="M59" i="5"/>
  <c r="M94" i="5"/>
  <c r="I38" i="5"/>
  <c r="K78" i="5"/>
  <c r="M95" i="5"/>
  <c r="M75" i="5"/>
  <c r="M84" i="5"/>
  <c r="E28" i="5"/>
  <c r="M71" i="5"/>
  <c r="I78" i="5"/>
  <c r="I96" i="5"/>
  <c r="M72" i="5"/>
  <c r="M87" i="5"/>
  <c r="I64" i="5"/>
  <c r="M73" i="5"/>
  <c r="M90" i="5"/>
  <c r="M60" i="5"/>
  <c r="M83" i="5"/>
  <c r="M62" i="5"/>
  <c r="M68" i="5"/>
  <c r="M67" i="5"/>
  <c r="M69" i="5"/>
  <c r="E64" i="5"/>
  <c r="E80" i="5" s="1"/>
  <c r="M61" i="5"/>
  <c r="M85" i="5"/>
  <c r="G64" i="5"/>
  <c r="G80" i="5" s="1"/>
  <c r="E78" i="5"/>
  <c r="K64" i="5"/>
  <c r="K80" i="5" s="1"/>
  <c r="K38" i="5"/>
  <c r="G28" i="5"/>
  <c r="G30" i="5" s="1"/>
  <c r="M14" i="5"/>
  <c r="M77" i="5"/>
  <c r="M45" i="5"/>
  <c r="L24" i="2"/>
  <c r="L17" i="2"/>
  <c r="L12" i="2"/>
  <c r="L26" i="2" s="1"/>
  <c r="J24" i="2"/>
  <c r="J17" i="2"/>
  <c r="J12" i="2"/>
  <c r="E30" i="5" l="1"/>
  <c r="E38" i="5" s="1"/>
  <c r="E40" i="5" s="1"/>
  <c r="I80" i="5"/>
  <c r="J26" i="2"/>
  <c r="E89" i="5"/>
  <c r="E91" i="5" s="1"/>
  <c r="E98" i="5" s="1"/>
  <c r="M96" i="5"/>
  <c r="K89" i="5"/>
  <c r="K91" i="5" s="1"/>
  <c r="K98" i="5" s="1"/>
  <c r="M78" i="5"/>
  <c r="M64" i="5"/>
  <c r="M80" i="5" s="1"/>
  <c r="K40" i="5"/>
  <c r="I40" i="5"/>
  <c r="G38" i="5"/>
  <c r="M28" i="5"/>
  <c r="M30" i="5" s="1"/>
  <c r="G89" i="5" l="1"/>
  <c r="G91" i="5" s="1"/>
  <c r="G98" i="5" s="1"/>
  <c r="I89" i="5"/>
  <c r="I91" i="5" s="1"/>
  <c r="I98" i="5" s="1"/>
  <c r="M38" i="5"/>
  <c r="K47" i="5"/>
  <c r="I47" i="5"/>
  <c r="E47" i="5"/>
  <c r="H28" i="3"/>
  <c r="F27" i="3"/>
  <c r="M89" i="5" l="1"/>
  <c r="M91" i="5" s="1"/>
  <c r="M98" i="5" s="1"/>
  <c r="G40" i="5"/>
  <c r="M40" i="5" l="1"/>
  <c r="M47" i="5" s="1"/>
  <c r="G47" i="5"/>
  <c r="P24" i="2" l="1"/>
  <c r="P17" i="2"/>
  <c r="P12" i="2"/>
  <c r="P26" i="2" l="1"/>
  <c r="J28" i="3" l="1"/>
  <c r="H24" i="2" l="1"/>
  <c r="H17" i="2"/>
  <c r="H12" i="2"/>
  <c r="H26" i="2" l="1"/>
  <c r="F24" i="2" l="1"/>
  <c r="F17" i="2"/>
  <c r="F12" i="2"/>
  <c r="F26" i="2" l="1"/>
  <c r="D27" i="3" l="1"/>
  <c r="H27" i="3" l="1"/>
  <c r="J27" i="3" l="1"/>
  <c r="H29" i="3"/>
  <c r="J24" i="3"/>
  <c r="H24" i="3"/>
  <c r="F24" i="3"/>
  <c r="D24" i="3"/>
  <c r="J19" i="3"/>
  <c r="H19" i="3"/>
  <c r="F19" i="3"/>
  <c r="D19" i="3"/>
  <c r="J14" i="3"/>
  <c r="H14" i="3"/>
  <c r="F14" i="3"/>
  <c r="D14" i="3"/>
  <c r="L23" i="3"/>
  <c r="L22" i="3"/>
  <c r="L18" i="3"/>
  <c r="L17" i="3"/>
  <c r="L13" i="3"/>
  <c r="L12" i="3"/>
  <c r="D24" i="2"/>
  <c r="D17" i="2"/>
  <c r="D12" i="2"/>
  <c r="D26" i="2" l="1"/>
  <c r="J29" i="3"/>
  <c r="D29" i="3"/>
  <c r="L28" i="3"/>
  <c r="F29" i="3"/>
  <c r="L27" i="3"/>
  <c r="L24" i="3"/>
  <c r="L19" i="3"/>
  <c r="L14" i="3"/>
  <c r="L29" i="3" l="1"/>
</calcChain>
</file>

<file path=xl/sharedStrings.xml><?xml version="1.0" encoding="utf-8"?>
<sst xmlns="http://schemas.openxmlformats.org/spreadsheetml/2006/main" count="175" uniqueCount="92">
  <si>
    <t>California Resources Corporation</t>
  </si>
  <si>
    <t>Total</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</si>
  <si>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</si>
  <si>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</si>
  <si>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</si>
  <si>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</si>
  <si>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</si>
  <si>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</si>
  <si>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</si>
  <si>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</si>
  <si>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</si>
  <si>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</si>
  <si>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</si>
  <si>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</si>
  <si>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</si>
  <si>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</si>
  <si>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 xml:space="preserve">   Total</t>
  </si>
  <si>
    <t>Proved Developed Reserves</t>
  </si>
  <si>
    <t>Proved Undeveloped Reserves</t>
  </si>
  <si>
    <t>Interest and debt expense, net</t>
  </si>
  <si>
    <t xml:space="preserve"> </t>
  </si>
  <si>
    <t xml:space="preserve">  Other revenue</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</si>
  <si>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</si>
  <si>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</si>
  <si>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</si>
  <si>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</si>
  <si>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</si>
  <si>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</si>
  <si>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</si>
  <si>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</si>
  <si>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</si>
  <si>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</si>
  <si>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</si>
  <si>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</si>
  <si>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t>(a)</t>
  </si>
  <si>
    <r>
      <t>Consolidated Statements of Operations (in millions)</t>
    </r>
    <r>
      <rPr>
        <b/>
        <sz val="12"/>
        <rFont val="Arial"/>
        <family val="2"/>
      </rPr>
      <t>:</t>
    </r>
  </si>
  <si>
    <r>
      <t>Consolidated Statements of Operations ($/BOE)</t>
    </r>
    <r>
      <rPr>
        <b/>
        <sz val="12"/>
        <rFont val="Arial"/>
        <family val="2"/>
      </rPr>
      <t>:</t>
    </r>
  </si>
  <si>
    <t xml:space="preserve">     reported as expense as opposed to being netted against revenue.  The adoption of this standard does not affect net income.   </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</si>
  <si>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</si>
  <si>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</si>
  <si>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</si>
  <si>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</si>
  <si>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</si>
  <si>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 xml:space="preserve">  Mezzanine equity</t>
  </si>
  <si>
    <t>Net (Income) Loss Attributable to Noncontrolling Interests</t>
  </si>
  <si>
    <t>Net income attributable to noncontrolling interests</t>
  </si>
  <si>
    <t>Net Production Statistics:</t>
  </si>
  <si>
    <t>Revenues</t>
  </si>
  <si>
    <t xml:space="preserve">  Electricity sales</t>
  </si>
  <si>
    <r>
      <t xml:space="preserve">  General and administrative expenses </t>
    </r>
    <r>
      <rPr>
        <vertAlign val="superscript"/>
        <sz val="10"/>
        <rFont val="Arial"/>
        <family val="2"/>
      </rPr>
      <t>(b)</t>
    </r>
  </si>
  <si>
    <t>(a)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</si>
  <si>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(b) The non-service cost component of net benefit cost related to CRC's pension and postretirement benefit plans have been reclassified from general and administrative expenses to other non-operating expenses as a result of the adoption of ASU 2017-07 on January 1, 2018. </t>
  </si>
  <si>
    <r>
      <t xml:space="preserve">  Transportation costs </t>
    </r>
    <r>
      <rPr>
        <vertAlign val="superscript"/>
        <sz val="10"/>
        <rFont val="Arial"/>
        <family val="2"/>
      </rPr>
      <t>(a)</t>
    </r>
  </si>
  <si>
    <t>TY 2020</t>
  </si>
  <si>
    <t>10 MOS</t>
  </si>
  <si>
    <t>2 MOS</t>
  </si>
  <si>
    <t>Predecessor</t>
  </si>
  <si>
    <t>Successor</t>
  </si>
  <si>
    <t>Combined</t>
  </si>
  <si>
    <t>1Q 2021</t>
  </si>
  <si>
    <t>2Q 2021</t>
  </si>
  <si>
    <t>3Q 2021</t>
  </si>
  <si>
    <t>4Q 2021</t>
  </si>
  <si>
    <t>2019</t>
  </si>
  <si>
    <t xml:space="preserve">  Operating costs</t>
  </si>
  <si>
    <t>Net gain (loss) on early extinguishment of debt</t>
  </si>
  <si>
    <t>(Non-GAAP)</t>
  </si>
  <si>
    <t>Volumes</t>
  </si>
  <si>
    <r>
      <t xml:space="preserve">   Total operating revenues </t>
    </r>
    <r>
      <rPr>
        <vertAlign val="superscript"/>
        <sz val="10"/>
        <rFont val="Arial"/>
        <family val="2"/>
      </rPr>
      <t>(a)</t>
    </r>
  </si>
  <si>
    <t>Operating expenses</t>
  </si>
  <si>
    <t xml:space="preserve">  Electricity generation expenses</t>
  </si>
  <si>
    <t xml:space="preserve">  Accretion expense</t>
  </si>
  <si>
    <t xml:space="preserve">  Other operating expenses, net</t>
  </si>
  <si>
    <t xml:space="preserve">   Total operating expenses</t>
  </si>
  <si>
    <t xml:space="preserve">  Net (loss) gain from commodity derivatives</t>
  </si>
  <si>
    <t xml:space="preserve">  Sales of purchased natural gas</t>
  </si>
  <si>
    <r>
      <t xml:space="preserve">  Purchased natural gas expense </t>
    </r>
    <r>
      <rPr>
        <vertAlign val="superscript"/>
        <sz val="10"/>
        <rFont val="Arial"/>
        <family val="2"/>
      </rPr>
      <t>(a)</t>
    </r>
  </si>
  <si>
    <t xml:space="preserve">  Gain on asset divestitures</t>
  </si>
  <si>
    <t>Reorganization items, net</t>
  </si>
  <si>
    <r>
      <t xml:space="preserve">Other non-operating expenses, net </t>
    </r>
    <r>
      <rPr>
        <vertAlign val="superscript"/>
        <sz val="10"/>
        <rFont val="Arial"/>
        <family val="2"/>
      </rPr>
      <t>(b)</t>
    </r>
  </si>
  <si>
    <t xml:space="preserve">  Stockholders' equity</t>
  </si>
  <si>
    <t>Non-operating (expenses) income</t>
  </si>
  <si>
    <t xml:space="preserve">  Oil, natural gas and NGL sales</t>
  </si>
  <si>
    <t xml:space="preserve">  Net proceeds (payments) on settled derivatives</t>
  </si>
  <si>
    <t xml:space="preserve">   Blended realized revenue</t>
  </si>
  <si>
    <t xml:space="preserve">   Blended realized price</t>
  </si>
  <si>
    <t>At December 31, 2021</t>
  </si>
  <si>
    <t>1Q 2022</t>
  </si>
  <si>
    <t>2Q 2022</t>
  </si>
  <si>
    <t>3Q 2022</t>
  </si>
  <si>
    <t>4Q 2022</t>
  </si>
  <si>
    <t>Income tax (provision)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</si>
</sst>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_);_(* \(#,##0.0000\);_(* &quot;-&quot;??_);_(@_)"/>
    <numFmt numFmtId="165" formatCode="_(&quot;$&quot;* #,##0.00_);_(&quot;$&quot;* \(#,##0.00\);_(&quot;$&quot;* &quot;-&quot;_);_(@_)"/>
    <numFmt numFmtId="166" formatCode="_(* #,##0.00_);_(* \(#,##0.00\);_(* &quot;-&quot;_);_(@_)"/>
    <numFmt numFmtId="167" formatCode="_(* #,##0.0_);_(* \(#,##0.0\);_(* &quot;-&quot;??_);_(@_)"/>
    <numFmt numFmtId="168" formatCode="_(* #,##0.0_);_(* \(#,##0.0\);_(* &quot;-&quot;_);_(@_)"/>
    <numFmt numFmtId="169" formatCode="_(* #,##0.0_);_(* \(#,##0.0\);_(* &quot;-&quot;?_);_(@_)"/>
  </numFmts>
  <fonts count="15"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sz val="10"/>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
      <vertAlign val="superscript"/>
      <sz val="10"/>
      <color theme="1"/>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thin">
        <color auto="1"/>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44" fontId="6" fillId="0" borderId="0" applyFont="0" applyFill="0" applyBorder="0" applyAlignment="0" applyProtection="0"/>
  </cellStyleXfs>
  <cellXfs count="150">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0" fillId="0" borderId="0" xfId="0" applyNumberFormat="1"/>
    <xf numFmtId="165"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5" fontId="3" fillId="0" borderId="2" xfId="0" applyNumberFormat="1" applyFont="1" applyBorder="1" applyAlignment="1"/>
    <xf numFmtId="0" fontId="4" fillId="0" borderId="0" xfId="0" applyNumberFormat="1" applyFont="1" applyBorder="1"/>
    <xf numFmtId="0" fontId="0" fillId="0" borderId="0" xfId="0" applyFill="1" applyBorder="1"/>
    <xf numFmtId="166"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6"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41" fontId="0" fillId="0" borderId="2" xfId="0" applyNumberFormat="1" applyFont="1" applyBorder="1"/>
    <xf numFmtId="41" fontId="3" fillId="0" borderId="2" xfId="0" applyNumberFormat="1" applyFont="1" applyBorder="1"/>
    <xf numFmtId="165" fontId="3" fillId="0" borderId="0" xfId="0" applyNumberFormat="1" applyFont="1" applyFill="1" applyAlignment="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9" fillId="0" borderId="0" xfId="0" applyFont="1"/>
    <xf numFmtId="41" fontId="3" fillId="0" borderId="0" xfId="0" applyNumberFormat="1" applyFont="1" applyFill="1" applyBorder="1"/>
    <xf numFmtId="0" fontId="11" fillId="0" borderId="0" xfId="0" applyNumberFormat="1" applyFont="1"/>
    <xf numFmtId="0" fontId="12" fillId="0" borderId="0" xfId="0" applyFont="1" applyAlignment="1">
      <alignment vertical="center"/>
    </xf>
    <xf numFmtId="0" fontId="14" fillId="0" borderId="0" xfId="0" applyFont="1"/>
    <xf numFmtId="41" fontId="0" fillId="0" borderId="3" xfId="0" applyNumberFormat="1" applyFont="1" applyBorder="1"/>
    <xf numFmtId="165"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5" fontId="3" fillId="0" borderId="2" xfId="0" applyNumberFormat="1" applyFont="1" applyFill="1" applyBorder="1" applyAlignment="1"/>
    <xf numFmtId="0" fontId="7" fillId="0" borderId="0" xfId="0" applyFont="1" applyFill="1"/>
    <xf numFmtId="0" fontId="1" fillId="0" borderId="0" xfId="0" applyFont="1" applyBorder="1" applyAlignment="1">
      <alignment horizontal="center"/>
    </xf>
    <xf numFmtId="165" fontId="0" fillId="0" borderId="0" xfId="0" applyNumberFormat="1"/>
    <xf numFmtId="169" fontId="0" fillId="0" borderId="0" xfId="0" applyNumberFormat="1" applyFill="1"/>
    <xf numFmtId="167" fontId="0" fillId="0" borderId="0" xfId="0" applyNumberFormat="1" applyFill="1"/>
    <xf numFmtId="0" fontId="1" fillId="0" borderId="3" xfId="0" applyFont="1" applyFill="1" applyBorder="1" applyAlignment="1">
      <alignment horizontal="center"/>
    </xf>
    <xf numFmtId="0" fontId="1" fillId="0" borderId="3" xfId="0" quotePrefix="1" applyFont="1" applyBorder="1" applyAlignment="1">
      <alignment horizontal="center"/>
    </xf>
    <xf numFmtId="0" fontId="4" fillId="0" borderId="0" xfId="0" applyFont="1" applyBorder="1" applyAlignment="1"/>
    <xf numFmtId="41" fontId="3" fillId="0" borderId="9" xfId="0" applyNumberFormat="1" applyFont="1" applyFill="1" applyBorder="1" applyAlignment="1"/>
    <xf numFmtId="0" fontId="0" fillId="0" borderId="7" xfId="0" applyFill="1" applyBorder="1"/>
    <xf numFmtId="43" fontId="3" fillId="0" borderId="7" xfId="0" applyNumberFormat="1" applyFont="1" applyFill="1" applyBorder="1" applyAlignment="1"/>
    <xf numFmtId="43" fontId="0" fillId="0" borderId="7" xfId="0" applyNumberFormat="1" applyFill="1" applyBorder="1"/>
    <xf numFmtId="43" fontId="3" fillId="0" borderId="8" xfId="0" applyNumberFormat="1" applyFont="1" applyFill="1" applyBorder="1" applyAlignment="1"/>
    <xf numFmtId="165" fontId="3" fillId="0" borderId="11" xfId="0" applyNumberFormat="1" applyFont="1" applyFill="1" applyBorder="1" applyAlignment="1"/>
    <xf numFmtId="42" fontId="3" fillId="0" borderId="7" xfId="0" applyNumberFormat="1" applyFont="1" applyFill="1" applyBorder="1" applyAlignment="1"/>
    <xf numFmtId="0" fontId="0" fillId="0" borderId="6" xfId="0" applyFill="1" applyBorder="1"/>
    <xf numFmtId="0" fontId="0" fillId="0" borderId="4" xfId="0" applyFill="1" applyBorder="1" applyAlignment="1">
      <alignment horizontal="center"/>
    </xf>
    <xf numFmtId="41" fontId="3" fillId="0" borderId="7" xfId="0" applyNumberFormat="1" applyFont="1" applyFill="1" applyBorder="1" applyAlignment="1"/>
    <xf numFmtId="41" fontId="3" fillId="0" borderId="10" xfId="0" applyNumberFormat="1" applyFont="1" applyFill="1" applyBorder="1" applyAlignment="1"/>
    <xf numFmtId="41" fontId="0" fillId="0" borderId="7" xfId="0" applyNumberFormat="1" applyFill="1" applyBorder="1"/>
    <xf numFmtId="41" fontId="3" fillId="0" borderId="10" xfId="0" applyNumberFormat="1" applyFont="1" applyFill="1" applyBorder="1"/>
    <xf numFmtId="41" fontId="3" fillId="0" borderId="11" xfId="0" applyNumberFormat="1" applyFont="1" applyFill="1" applyBorder="1"/>
    <xf numFmtId="41" fontId="3" fillId="0" borderId="7" xfId="0" applyNumberFormat="1" applyFont="1" applyFill="1" applyBorder="1"/>
    <xf numFmtId="0" fontId="0" fillId="0" borderId="6" xfId="0" applyFill="1" applyBorder="1" applyAlignment="1">
      <alignment horizontal="center"/>
    </xf>
    <xf numFmtId="0" fontId="1" fillId="0" borderId="8" xfId="0" applyFont="1" applyFill="1" applyBorder="1" applyAlignment="1">
      <alignment horizontal="center"/>
    </xf>
    <xf numFmtId="167" fontId="0" fillId="0" borderId="0" xfId="1" applyNumberFormat="1" applyFont="1" applyFill="1"/>
    <xf numFmtId="166" fontId="0" fillId="0" borderId="0" xfId="0" applyNumberFormat="1" applyFill="1"/>
    <xf numFmtId="168" fontId="0" fillId="0" borderId="0" xfId="0" applyNumberFormat="1" applyFill="1"/>
    <xf numFmtId="43" fontId="3" fillId="0" borderId="12" xfId="0" applyNumberFormat="1" applyFont="1" applyFill="1" applyBorder="1" applyAlignment="1"/>
    <xf numFmtId="43" fontId="3" fillId="0" borderId="13" xfId="0" applyNumberFormat="1" applyFont="1" applyFill="1" applyBorder="1" applyAlignment="1"/>
    <xf numFmtId="43" fontId="3" fillId="0" borderId="1" xfId="0" applyNumberFormat="1" applyFont="1" applyBorder="1" applyAlignment="1"/>
    <xf numFmtId="43" fontId="3" fillId="0" borderId="1" xfId="0" applyNumberFormat="1" applyFont="1" applyFill="1" applyBorder="1" applyAlignment="1"/>
    <xf numFmtId="43" fontId="3" fillId="0" borderId="14" xfId="0" applyNumberFormat="1" applyFont="1" applyFill="1" applyBorder="1" applyAlignment="1"/>
    <xf numFmtId="43" fontId="3" fillId="0" borderId="9" xfId="0" applyNumberFormat="1" applyFont="1" applyFill="1" applyBorder="1" applyAlignment="1"/>
    <xf numFmtId="43" fontId="3" fillId="0" borderId="15" xfId="0" applyNumberFormat="1" applyFont="1" applyFill="1" applyBorder="1" applyAlignment="1"/>
    <xf numFmtId="42" fontId="0" fillId="0" borderId="0" xfId="0" applyNumberFormat="1" applyFill="1"/>
    <xf numFmtId="42" fontId="0" fillId="0" borderId="7" xfId="0" applyNumberFormat="1" applyFill="1" applyBorder="1"/>
    <xf numFmtId="41" fontId="0" fillId="0" borderId="0" xfId="0" applyNumberFormat="1" applyFill="1"/>
    <xf numFmtId="42" fontId="3" fillId="0" borderId="0" xfId="0" applyNumberFormat="1" applyFont="1" applyFill="1" applyBorder="1" applyAlignment="1"/>
    <xf numFmtId="44" fontId="3" fillId="0" borderId="3" xfId="2" applyFont="1" applyBorder="1" applyAlignment="1"/>
    <xf numFmtId="44" fontId="3" fillId="0" borderId="0" xfId="2" applyFont="1" applyBorder="1" applyAlignment="1"/>
    <xf numFmtId="44" fontId="3" fillId="0" borderId="8" xfId="2" applyFont="1" applyFill="1" applyBorder="1" applyAlignment="1"/>
    <xf numFmtId="17" fontId="0" fillId="0" borderId="0" xfId="0" applyNumberFormat="1"/>
    <xf numFmtId="0" fontId="3" fillId="0" borderId="0" xfId="0" applyNumberFormat="1" applyFont="1" applyFill="1" applyAlignment="1"/>
    <xf numFmtId="41" fontId="3" fillId="0" borderId="8" xfId="0" applyNumberFormat="1" applyFont="1" applyFill="1" applyBorder="1" applyAlignment="1"/>
    <xf numFmtId="0" fontId="0" fillId="0" borderId="0" xfId="0" applyFill="1" applyAlignment="1">
      <alignment horizontal="center"/>
    </xf>
    <xf numFmtId="0" fontId="0" fillId="0" borderId="4" xfId="0" quotePrefix="1" applyFill="1" applyBorder="1"/>
    <xf numFmtId="42" fontId="0" fillId="0" borderId="0" xfId="0" applyNumberFormat="1" applyFill="1" applyAlignment="1"/>
    <xf numFmtId="42" fontId="0" fillId="0" borderId="7" xfId="0" applyNumberFormat="1" applyFill="1" applyBorder="1" applyAlignment="1"/>
    <xf numFmtId="41" fontId="3" fillId="0" borderId="14" xfId="0" applyNumberFormat="1" applyFont="1" applyFill="1" applyBorder="1" applyAlignment="1"/>
    <xf numFmtId="41" fontId="0" fillId="0" borderId="7" xfId="0" applyNumberFormat="1" applyFont="1" applyFill="1" applyBorder="1"/>
    <xf numFmtId="42" fontId="0" fillId="0" borderId="2" xfId="0" applyNumberFormat="1" applyFill="1" applyBorder="1"/>
    <xf numFmtId="42" fontId="0" fillId="0" borderId="11" xfId="0" applyNumberFormat="1" applyFill="1" applyBorder="1"/>
    <xf numFmtId="165" fontId="3" fillId="0" borderId="7" xfId="0" applyNumberFormat="1" applyFont="1" applyFill="1" applyBorder="1" applyAlignment="1"/>
    <xf numFmtId="43" fontId="3" fillId="0" borderId="0" xfId="0" applyNumberFormat="1" applyFont="1" applyFill="1" applyAlignment="1"/>
    <xf numFmtId="44" fontId="3" fillId="0" borderId="3" xfId="2" applyFont="1" applyFill="1" applyBorder="1" applyAlignment="1"/>
    <xf numFmtId="43" fontId="0" fillId="0" borderId="0" xfId="1" applyFont="1" applyFill="1"/>
    <xf numFmtId="43" fontId="0" fillId="0" borderId="0" xfId="1" applyFont="1" applyFill="1" applyBorder="1"/>
    <xf numFmtId="167" fontId="0" fillId="2" borderId="0" xfId="1" applyNumberFormat="1" applyFont="1" applyFill="1"/>
    <xf numFmtId="41" fontId="3" fillId="0" borderId="13" xfId="0" applyNumberFormat="1" applyFont="1" applyFill="1" applyBorder="1" applyAlignment="1"/>
    <xf numFmtId="41" fontId="0" fillId="0" borderId="15" xfId="0" applyNumberFormat="1" applyFill="1" applyBorder="1"/>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FAAD-F1F1-4A7C-BDB0-8C27F0A4E096}">
  <sheetPr>
    <pageSetUpPr fitToPage="1"/>
  </sheetPr>
  <dimension ref="A2:XAV128"/>
  <sheetViews>
    <sheetView showGridLines="0" tabSelected="1" zoomScale="82" zoomScaleNormal="82" workbookViewId="0">
      <pane xSplit="4" ySplit="7" topLeftCell="E8" activePane="bottomRight" state="frozen"/>
      <selection pane="topRight" activeCell="E1" sqref="E1"/>
      <selection pane="bottomLeft" activeCell="A8" sqref="A8"/>
      <selection pane="bottomRight" activeCell="B2" sqref="B2"/>
    </sheetView>
  </sheetViews>
  <sheetFormatPr defaultRowHeight="12.5" outlineLevelRow="1" x14ac:dyDescent="0.25"/>
  <cols>
    <col min="1" max="1" width="4" customWidth="1"/>
    <col min="3" max="3" width="48.7265625" customWidth="1"/>
    <col min="4" max="4" width="2.7265625" customWidth="1"/>
    <col min="5" max="5" width="9.81640625" customWidth="1"/>
    <col min="6" max="6" width="2.81640625" customWidth="1"/>
    <col min="7" max="7" width="9.81640625" customWidth="1"/>
    <col min="8" max="8" width="3.26953125" customWidth="1"/>
    <col min="9" max="9" width="9.81640625" customWidth="1"/>
    <col min="10" max="10" width="2.7265625" customWidth="1"/>
    <col min="11" max="11" width="9.81640625" customWidth="1"/>
    <col min="12" max="12" width="2.7265625" customWidth="1"/>
    <col min="13" max="13" width="9.81640625" customWidth="1"/>
    <col min="14" max="14" width="2.26953125" customWidth="1"/>
    <col min="15" max="15" width="11.1796875" style="36" customWidth="1"/>
    <col min="16" max="16" width="10.6328125" style="36" bestFit="1" customWidth="1"/>
    <col min="17" max="17" width="11" style="36" customWidth="1"/>
    <col min="18" max="18" width="2.6328125" customWidth="1"/>
    <col min="19" max="19" width="12.36328125" bestFit="1" customWidth="1"/>
    <col min="22" max="22" width="9.36328125" bestFit="1" customWidth="1"/>
    <col min="23" max="23" width="9.453125" customWidth="1"/>
    <col min="24" max="24" width="2.6328125" customWidth="1"/>
    <col min="25" max="29" width="9.453125" customWidth="1"/>
    <col min="30" max="30" width="11" bestFit="1" customWidth="1"/>
    <col min="31" max="31" width="12.1796875" customWidth="1"/>
  </cols>
  <sheetData>
    <row r="2" spans="1:33" ht="18" x14ac:dyDescent="0.4">
      <c r="B2" s="24" t="s">
        <v>0</v>
      </c>
    </row>
    <row r="3" spans="1:33" x14ac:dyDescent="0.25">
      <c r="A3" t="s">
        <v>20</v>
      </c>
      <c r="P3" s="51"/>
    </row>
    <row r="4" spans="1:33" x14ac:dyDescent="0.25">
      <c r="P4" s="98"/>
      <c r="Q4" s="134" t="s">
        <v>58</v>
      </c>
    </row>
    <row r="5" spans="1:33" ht="16" thickBot="1" x14ac:dyDescent="0.4">
      <c r="B5" s="26" t="s">
        <v>35</v>
      </c>
      <c r="C5" s="28"/>
      <c r="D5" s="28"/>
      <c r="E5" s="28"/>
      <c r="F5" s="12"/>
      <c r="G5" s="28"/>
      <c r="H5" s="12"/>
      <c r="I5" s="28"/>
      <c r="J5" s="12"/>
      <c r="K5" s="28"/>
      <c r="L5" s="12"/>
      <c r="M5" s="28"/>
      <c r="N5" s="12"/>
      <c r="O5" s="44" t="s">
        <v>56</v>
      </c>
      <c r="P5" s="112" t="s">
        <v>57</v>
      </c>
      <c r="Q5" s="135" t="s">
        <v>66</v>
      </c>
      <c r="S5" s="28"/>
      <c r="T5" s="28"/>
      <c r="U5" s="28"/>
      <c r="V5" s="28"/>
      <c r="W5" s="28"/>
      <c r="X5" s="12"/>
      <c r="Y5" s="28"/>
      <c r="Z5" s="28"/>
      <c r="AA5" s="28"/>
      <c r="AB5" s="28"/>
      <c r="AC5" s="28"/>
    </row>
    <row r="6" spans="1:33" ht="6" customHeight="1" thickTop="1" x14ac:dyDescent="0.3">
      <c r="B6" s="1"/>
      <c r="P6" s="98"/>
    </row>
    <row r="7" spans="1:33" ht="15" x14ac:dyDescent="0.3">
      <c r="E7" s="33">
        <v>2015</v>
      </c>
      <c r="F7" s="83" t="s">
        <v>34</v>
      </c>
      <c r="G7" s="33">
        <v>2016</v>
      </c>
      <c r="I7" s="33">
        <v>2017</v>
      </c>
      <c r="K7" s="33">
        <v>2018</v>
      </c>
      <c r="M7" s="95" t="s">
        <v>63</v>
      </c>
      <c r="O7" s="94" t="s">
        <v>54</v>
      </c>
      <c r="P7" s="113" t="s">
        <v>55</v>
      </c>
      <c r="Q7" s="94" t="s">
        <v>53</v>
      </c>
      <c r="S7" s="33" t="s">
        <v>59</v>
      </c>
      <c r="T7" s="33" t="s">
        <v>60</v>
      </c>
      <c r="U7" s="33" t="s">
        <v>61</v>
      </c>
      <c r="V7" s="33" t="s">
        <v>62</v>
      </c>
      <c r="W7" s="33" t="s">
        <v>1</v>
      </c>
      <c r="X7" s="90"/>
      <c r="Y7" s="33" t="s">
        <v>87</v>
      </c>
      <c r="Z7" s="33" t="s">
        <v>88</v>
      </c>
      <c r="AA7" s="33" t="s">
        <v>89</v>
      </c>
      <c r="AB7" s="33" t="s">
        <v>90</v>
      </c>
      <c r="AC7" s="33" t="s">
        <v>1</v>
      </c>
    </row>
    <row r="8" spans="1:33" ht="13" x14ac:dyDescent="0.3">
      <c r="B8" s="1" t="s">
        <v>47</v>
      </c>
      <c r="C8" s="2"/>
      <c r="E8" s="6"/>
      <c r="G8" s="4"/>
      <c r="I8" s="4"/>
      <c r="K8" s="4"/>
      <c r="M8" s="4"/>
      <c r="O8" s="136"/>
      <c r="P8" s="137"/>
      <c r="Q8" s="136"/>
      <c r="S8" s="3"/>
      <c r="T8" s="4"/>
      <c r="U8" s="4"/>
      <c r="V8" s="4"/>
      <c r="W8" s="4"/>
      <c r="X8" s="4"/>
      <c r="Y8" s="3"/>
      <c r="Z8" s="4"/>
      <c r="AA8" s="4"/>
      <c r="AB8" s="4"/>
      <c r="AC8" s="4"/>
    </row>
    <row r="9" spans="1:33" x14ac:dyDescent="0.25">
      <c r="B9" s="39" t="s">
        <v>82</v>
      </c>
      <c r="C9" s="8"/>
      <c r="E9" s="63">
        <v>2134</v>
      </c>
      <c r="F9" s="36"/>
      <c r="G9" s="25">
        <v>1621</v>
      </c>
      <c r="I9" s="63">
        <v>1936</v>
      </c>
      <c r="K9" s="63">
        <v>2590</v>
      </c>
      <c r="M9" s="63">
        <v>2270</v>
      </c>
      <c r="O9" s="63">
        <v>1092</v>
      </c>
      <c r="P9" s="103">
        <v>237</v>
      </c>
      <c r="Q9" s="63">
        <f>O9+P9</f>
        <v>1329</v>
      </c>
      <c r="R9" s="8"/>
      <c r="S9" s="63">
        <v>432</v>
      </c>
      <c r="T9" s="25">
        <v>478</v>
      </c>
      <c r="U9" s="25">
        <v>549</v>
      </c>
      <c r="V9" s="25">
        <v>589</v>
      </c>
      <c r="W9" s="63">
        <f>+S9+T9+U9+V9</f>
        <v>2048</v>
      </c>
      <c r="X9" s="63"/>
      <c r="Y9" s="63">
        <v>628</v>
      </c>
      <c r="Z9" s="25">
        <v>718</v>
      </c>
      <c r="AA9" s="25">
        <v>0</v>
      </c>
      <c r="AB9" s="25">
        <v>0</v>
      </c>
      <c r="AC9" s="63">
        <f>+Y9+Z9+AA9+AB9</f>
        <v>1346</v>
      </c>
      <c r="AG9" s="131"/>
    </row>
    <row r="10" spans="1:33" x14ac:dyDescent="0.25">
      <c r="B10" s="39" t="s">
        <v>74</v>
      </c>
      <c r="C10" s="8"/>
      <c r="E10" s="55">
        <v>133</v>
      </c>
      <c r="F10" s="36"/>
      <c r="G10" s="10">
        <v>-206</v>
      </c>
      <c r="I10" s="10">
        <v>-90</v>
      </c>
      <c r="K10" s="10">
        <v>1</v>
      </c>
      <c r="M10" s="10">
        <v>-59</v>
      </c>
      <c r="O10" s="55">
        <v>91</v>
      </c>
      <c r="P10" s="106">
        <v>-141</v>
      </c>
      <c r="Q10" s="55">
        <f>O10+P10</f>
        <v>-50</v>
      </c>
      <c r="R10" s="8"/>
      <c r="S10" s="10">
        <v>-213</v>
      </c>
      <c r="T10" s="10">
        <v>-265</v>
      </c>
      <c r="U10" s="10">
        <v>-125</v>
      </c>
      <c r="V10" s="10">
        <v>-73</v>
      </c>
      <c r="W10" s="10">
        <f t="shared" ref="W10:W13" si="0">+S10+T10+U10+V10</f>
        <v>-676</v>
      </c>
      <c r="X10" s="10"/>
      <c r="Y10" s="10">
        <v>-562</v>
      </c>
      <c r="Z10" s="10">
        <v>-100</v>
      </c>
      <c r="AA10" s="10">
        <v>0</v>
      </c>
      <c r="AB10" s="10">
        <v>0</v>
      </c>
      <c r="AC10" s="10">
        <f t="shared" ref="AC10:AC13" si="1">+Y10+Z10+AA10+AB10</f>
        <v>-662</v>
      </c>
    </row>
    <row r="11" spans="1:33" x14ac:dyDescent="0.25">
      <c r="B11" s="39" t="s">
        <v>75</v>
      </c>
      <c r="C11" s="8"/>
      <c r="E11" s="55">
        <v>0</v>
      </c>
      <c r="F11" s="36"/>
      <c r="G11" s="10">
        <f>22</f>
        <v>22</v>
      </c>
      <c r="I11" s="10">
        <f>32</f>
        <v>32</v>
      </c>
      <c r="K11" s="10">
        <v>330</v>
      </c>
      <c r="M11" s="10">
        <v>286</v>
      </c>
      <c r="O11" s="55">
        <v>124</v>
      </c>
      <c r="P11" s="106">
        <v>38</v>
      </c>
      <c r="Q11" s="55">
        <f t="shared" ref="Q11:Q13" si="2">O11+P11</f>
        <v>162</v>
      </c>
      <c r="R11" s="8"/>
      <c r="S11" s="10">
        <v>98</v>
      </c>
      <c r="T11" s="10">
        <v>48</v>
      </c>
      <c r="U11" s="10">
        <v>95</v>
      </c>
      <c r="V11" s="10">
        <v>71</v>
      </c>
      <c r="W11" s="10">
        <f t="shared" si="0"/>
        <v>312</v>
      </c>
      <c r="X11" s="10"/>
      <c r="Y11" s="10">
        <v>32</v>
      </c>
      <c r="Z11" s="10">
        <v>75</v>
      </c>
      <c r="AA11" s="10">
        <v>0</v>
      </c>
      <c r="AB11" s="10">
        <v>0</v>
      </c>
      <c r="AC11" s="10">
        <f t="shared" si="1"/>
        <v>107</v>
      </c>
    </row>
    <row r="12" spans="1:33" x14ac:dyDescent="0.25">
      <c r="B12" s="39" t="s">
        <v>48</v>
      </c>
      <c r="C12" s="8"/>
      <c r="E12" s="55">
        <v>0</v>
      </c>
      <c r="F12" s="36"/>
      <c r="G12" s="10">
        <v>107</v>
      </c>
      <c r="I12" s="10">
        <v>125</v>
      </c>
      <c r="K12" s="10">
        <v>111</v>
      </c>
      <c r="M12" s="10">
        <v>112</v>
      </c>
      <c r="O12" s="55">
        <v>86</v>
      </c>
      <c r="P12" s="106">
        <v>15</v>
      </c>
      <c r="Q12" s="55">
        <f t="shared" si="2"/>
        <v>101</v>
      </c>
      <c r="R12" s="8"/>
      <c r="S12" s="10">
        <v>33</v>
      </c>
      <c r="T12" s="10">
        <v>33</v>
      </c>
      <c r="U12" s="10">
        <v>65</v>
      </c>
      <c r="V12" s="10">
        <v>41</v>
      </c>
      <c r="W12" s="10">
        <f t="shared" si="0"/>
        <v>172</v>
      </c>
      <c r="X12" s="10"/>
      <c r="Y12" s="10">
        <v>34</v>
      </c>
      <c r="Z12" s="10">
        <v>49</v>
      </c>
      <c r="AA12" s="10">
        <v>0</v>
      </c>
      <c r="AB12" s="10">
        <v>0</v>
      </c>
      <c r="AC12" s="10">
        <f t="shared" si="1"/>
        <v>83</v>
      </c>
    </row>
    <row r="13" spans="1:33" x14ac:dyDescent="0.25">
      <c r="B13" s="39" t="s">
        <v>21</v>
      </c>
      <c r="C13" s="8"/>
      <c r="E13" s="55">
        <v>136</v>
      </c>
      <c r="F13" s="36"/>
      <c r="G13" s="10">
        <f>132-107-22</f>
        <v>3</v>
      </c>
      <c r="I13" s="55">
        <f>160-125-32</f>
        <v>3</v>
      </c>
      <c r="K13" s="55">
        <f>473-330-111</f>
        <v>32</v>
      </c>
      <c r="M13" s="55">
        <v>25</v>
      </c>
      <c r="O13" s="55">
        <v>14</v>
      </c>
      <c r="P13" s="106">
        <v>3</v>
      </c>
      <c r="Q13" s="55">
        <f t="shared" si="2"/>
        <v>17</v>
      </c>
      <c r="R13" s="8"/>
      <c r="S13" s="55">
        <v>13</v>
      </c>
      <c r="T13" s="10">
        <v>10</v>
      </c>
      <c r="U13" s="10">
        <v>4</v>
      </c>
      <c r="V13" s="10">
        <v>6</v>
      </c>
      <c r="W13" s="55">
        <f t="shared" si="0"/>
        <v>33</v>
      </c>
      <c r="X13" s="55"/>
      <c r="Y13" s="55">
        <v>21</v>
      </c>
      <c r="Z13" s="10">
        <v>5</v>
      </c>
      <c r="AA13" s="10">
        <v>0</v>
      </c>
      <c r="AB13" s="10">
        <v>0</v>
      </c>
      <c r="AC13" s="55">
        <f t="shared" si="1"/>
        <v>26</v>
      </c>
    </row>
    <row r="14" spans="1:33" ht="14.5" x14ac:dyDescent="0.25">
      <c r="B14" s="7" t="s">
        <v>68</v>
      </c>
      <c r="C14" s="8"/>
      <c r="E14" s="64">
        <f>SUM(E9:E13)</f>
        <v>2403</v>
      </c>
      <c r="F14" s="36"/>
      <c r="G14" s="64">
        <f>SUM(G9:G13)</f>
        <v>1547</v>
      </c>
      <c r="I14" s="64">
        <f>SUM(I9:I13)</f>
        <v>2006</v>
      </c>
      <c r="K14" s="64">
        <f>SUM(K9:K13)</f>
        <v>3064</v>
      </c>
      <c r="M14" s="64">
        <f>SUM(M9:M13)</f>
        <v>2634</v>
      </c>
      <c r="O14" s="64">
        <f t="shared" ref="O14" si="3">SUM(O9:O13)</f>
        <v>1407</v>
      </c>
      <c r="P14" s="97">
        <f t="shared" ref="P14" si="4">SUM(P9:P13)</f>
        <v>152</v>
      </c>
      <c r="Q14" s="64">
        <f>SUM(Q9:Q13)</f>
        <v>1559</v>
      </c>
      <c r="R14" s="8"/>
      <c r="S14" s="64">
        <f>SUM(S9:S13)</f>
        <v>363</v>
      </c>
      <c r="T14" s="64">
        <f>SUM(T9:T13)</f>
        <v>304</v>
      </c>
      <c r="U14" s="64">
        <f>SUM(U9:U13)</f>
        <v>588</v>
      </c>
      <c r="V14" s="64">
        <f>SUM(V9:V13)</f>
        <v>634</v>
      </c>
      <c r="W14" s="64">
        <f>SUM(W9:W13)</f>
        <v>1889</v>
      </c>
      <c r="X14" s="71"/>
      <c r="Y14" s="64">
        <f>SUM(Y9:Y13)</f>
        <v>153</v>
      </c>
      <c r="Z14" s="64">
        <f>SUM(Z9:Z13)</f>
        <v>747</v>
      </c>
      <c r="AA14" s="64">
        <f>SUM(AA9:AA13)</f>
        <v>0</v>
      </c>
      <c r="AB14" s="64">
        <f>SUM(AB9:AB13)</f>
        <v>0</v>
      </c>
      <c r="AC14" s="64">
        <f>SUM(AC9:AC13)</f>
        <v>900</v>
      </c>
    </row>
    <row r="15" spans="1:33" ht="12.65" customHeight="1" x14ac:dyDescent="0.25">
      <c r="B15" s="7"/>
      <c r="C15" s="8"/>
      <c r="E15" s="25"/>
      <c r="G15" s="25"/>
      <c r="I15" s="63"/>
      <c r="K15" s="63"/>
      <c r="M15" s="63"/>
      <c r="O15" s="63"/>
      <c r="P15" s="103"/>
      <c r="Q15" s="63"/>
      <c r="R15" s="8"/>
      <c r="S15" s="25"/>
      <c r="T15" s="25"/>
      <c r="U15" s="25"/>
      <c r="V15" s="25"/>
      <c r="W15" s="63"/>
      <c r="X15" s="63"/>
      <c r="Y15" s="25"/>
      <c r="Z15" s="25"/>
      <c r="AA15" s="25"/>
      <c r="AB15" s="25"/>
      <c r="AC15" s="63"/>
    </row>
    <row r="16" spans="1:33" ht="13" x14ac:dyDescent="0.3">
      <c r="B16" s="1" t="s">
        <v>69</v>
      </c>
      <c r="C16" s="8"/>
      <c r="E16" s="25"/>
      <c r="G16" s="25"/>
      <c r="I16" s="63"/>
      <c r="K16" s="63"/>
      <c r="M16" s="63"/>
      <c r="O16" s="63"/>
      <c r="P16" s="103"/>
      <c r="Q16" s="63"/>
      <c r="R16" s="8"/>
      <c r="S16" s="25"/>
      <c r="T16" s="25"/>
      <c r="U16" s="25"/>
      <c r="V16" s="25"/>
      <c r="W16" s="63"/>
      <c r="X16" s="63"/>
      <c r="Y16" s="25"/>
      <c r="Z16" s="25"/>
      <c r="AA16" s="25"/>
      <c r="AB16" s="25"/>
      <c r="AC16" s="63"/>
    </row>
    <row r="17" spans="2:29" x14ac:dyDescent="0.25">
      <c r="B17" s="39" t="s">
        <v>64</v>
      </c>
      <c r="C17" s="8"/>
      <c r="E17" s="10">
        <v>951</v>
      </c>
      <c r="G17" s="55">
        <v>800</v>
      </c>
      <c r="I17" s="55">
        <v>876</v>
      </c>
      <c r="K17" s="55">
        <v>912</v>
      </c>
      <c r="M17" s="55">
        <v>895</v>
      </c>
      <c r="O17" s="55">
        <v>511</v>
      </c>
      <c r="P17" s="106">
        <v>114</v>
      </c>
      <c r="Q17" s="55">
        <f t="shared" ref="Q17:Q27" si="5">O17+P17</f>
        <v>625</v>
      </c>
      <c r="R17" s="8"/>
      <c r="S17" s="10">
        <v>164</v>
      </c>
      <c r="T17" s="10">
        <v>169</v>
      </c>
      <c r="U17" s="10">
        <v>190</v>
      </c>
      <c r="V17" s="10">
        <v>182</v>
      </c>
      <c r="W17" s="55">
        <f t="shared" ref="W17:W27" si="6">+S17+T17+U17+V17</f>
        <v>705</v>
      </c>
      <c r="X17" s="55"/>
      <c r="Y17" s="10">
        <v>182</v>
      </c>
      <c r="Z17" s="10">
        <v>190</v>
      </c>
      <c r="AA17" s="10">
        <v>0</v>
      </c>
      <c r="AB17" s="10">
        <v>0</v>
      </c>
      <c r="AC17" s="55">
        <f t="shared" ref="AC17:AC27" si="7">+Y17+Z17+AA17+AB17</f>
        <v>372</v>
      </c>
    </row>
    <row r="18" spans="2:29" ht="14.5" x14ac:dyDescent="0.25">
      <c r="B18" s="39" t="s">
        <v>49</v>
      </c>
      <c r="C18" s="8"/>
      <c r="E18" s="10">
        <f>354-27</f>
        <v>327</v>
      </c>
      <c r="G18" s="55">
        <f>248-13</f>
        <v>235</v>
      </c>
      <c r="I18" s="55">
        <v>249</v>
      </c>
      <c r="K18" s="55">
        <v>299</v>
      </c>
      <c r="M18" s="55">
        <v>290</v>
      </c>
      <c r="O18" s="55">
        <v>212</v>
      </c>
      <c r="P18" s="106">
        <v>40</v>
      </c>
      <c r="Q18" s="55">
        <f t="shared" si="5"/>
        <v>252</v>
      </c>
      <c r="R18" s="8"/>
      <c r="S18" s="10">
        <v>48</v>
      </c>
      <c r="T18" s="10">
        <v>48</v>
      </c>
      <c r="U18" s="10">
        <v>51</v>
      </c>
      <c r="V18" s="10">
        <v>53</v>
      </c>
      <c r="W18" s="55">
        <f t="shared" si="6"/>
        <v>200</v>
      </c>
      <c r="X18" s="55"/>
      <c r="Y18" s="10">
        <v>48</v>
      </c>
      <c r="Z18" s="10">
        <v>56</v>
      </c>
      <c r="AA18" s="10">
        <v>0</v>
      </c>
      <c r="AB18" s="10">
        <v>0</v>
      </c>
      <c r="AC18" s="55">
        <f t="shared" si="7"/>
        <v>104</v>
      </c>
    </row>
    <row r="19" spans="2:29" x14ac:dyDescent="0.25">
      <c r="B19" s="39" t="s">
        <v>22</v>
      </c>
      <c r="C19" s="8"/>
      <c r="E19" s="10">
        <v>1004</v>
      </c>
      <c r="G19" s="55">
        <v>559</v>
      </c>
      <c r="I19" s="55">
        <v>544</v>
      </c>
      <c r="K19" s="55">
        <v>502</v>
      </c>
      <c r="M19" s="55">
        <v>471</v>
      </c>
      <c r="O19" s="55">
        <v>328</v>
      </c>
      <c r="P19" s="106">
        <v>34</v>
      </c>
      <c r="Q19" s="55">
        <f t="shared" si="5"/>
        <v>362</v>
      </c>
      <c r="R19" s="8"/>
      <c r="S19" s="10">
        <v>52</v>
      </c>
      <c r="T19" s="10">
        <v>54</v>
      </c>
      <c r="U19" s="10">
        <v>54</v>
      </c>
      <c r="V19" s="10">
        <v>53</v>
      </c>
      <c r="W19" s="55">
        <f t="shared" si="6"/>
        <v>213</v>
      </c>
      <c r="X19" s="55"/>
      <c r="Y19" s="10">
        <v>49</v>
      </c>
      <c r="Z19" s="10">
        <v>50</v>
      </c>
      <c r="AA19" s="10">
        <v>0</v>
      </c>
      <c r="AB19" s="10">
        <v>0</v>
      </c>
      <c r="AC19" s="55">
        <f t="shared" si="7"/>
        <v>99</v>
      </c>
    </row>
    <row r="20" spans="2:29" x14ac:dyDescent="0.25">
      <c r="B20" s="39" t="s">
        <v>23</v>
      </c>
      <c r="C20" s="8"/>
      <c r="E20" s="10">
        <v>4852</v>
      </c>
      <c r="G20" s="55">
        <v>0</v>
      </c>
      <c r="I20" s="55">
        <v>0</v>
      </c>
      <c r="K20" s="55">
        <v>0</v>
      </c>
      <c r="M20" s="55">
        <v>0</v>
      </c>
      <c r="O20" s="55">
        <v>1736</v>
      </c>
      <c r="P20" s="106">
        <v>0</v>
      </c>
      <c r="Q20" s="55">
        <f t="shared" si="5"/>
        <v>1736</v>
      </c>
      <c r="R20" s="8"/>
      <c r="S20" s="10">
        <v>3</v>
      </c>
      <c r="T20" s="10">
        <v>0</v>
      </c>
      <c r="U20" s="10">
        <v>25</v>
      </c>
      <c r="V20" s="10">
        <v>0</v>
      </c>
      <c r="W20" s="55">
        <f t="shared" si="6"/>
        <v>28</v>
      </c>
      <c r="X20" s="55"/>
      <c r="Y20" s="10">
        <v>0</v>
      </c>
      <c r="Z20" s="10">
        <v>2</v>
      </c>
      <c r="AA20" s="10">
        <v>0</v>
      </c>
      <c r="AB20" s="10">
        <v>0</v>
      </c>
      <c r="AC20" s="55">
        <f t="shared" si="7"/>
        <v>2</v>
      </c>
    </row>
    <row r="21" spans="2:29" x14ac:dyDescent="0.25">
      <c r="B21" s="39" t="s">
        <v>24</v>
      </c>
      <c r="C21" s="8"/>
      <c r="E21" s="10">
        <v>180</v>
      </c>
      <c r="G21" s="55">
        <v>144</v>
      </c>
      <c r="I21" s="55">
        <v>136</v>
      </c>
      <c r="K21" s="55">
        <v>149</v>
      </c>
      <c r="M21" s="10">
        <v>157</v>
      </c>
      <c r="O21" s="55">
        <v>134</v>
      </c>
      <c r="P21" s="106">
        <v>10</v>
      </c>
      <c r="Q21" s="55">
        <f t="shared" si="5"/>
        <v>144</v>
      </c>
      <c r="R21" s="8"/>
      <c r="S21" s="10">
        <v>40</v>
      </c>
      <c r="T21" s="10">
        <v>37</v>
      </c>
      <c r="U21" s="10">
        <v>36</v>
      </c>
      <c r="V21" s="10">
        <v>32</v>
      </c>
      <c r="W21" s="10">
        <f t="shared" si="6"/>
        <v>145</v>
      </c>
      <c r="X21" s="10"/>
      <c r="Y21" s="10">
        <v>34</v>
      </c>
      <c r="Z21" s="10">
        <v>42</v>
      </c>
      <c r="AA21" s="10">
        <v>0</v>
      </c>
      <c r="AB21" s="10">
        <v>0</v>
      </c>
      <c r="AC21" s="10">
        <f t="shared" si="7"/>
        <v>76</v>
      </c>
    </row>
    <row r="22" spans="2:29" x14ac:dyDescent="0.25">
      <c r="B22" s="39" t="s">
        <v>25</v>
      </c>
      <c r="C22" s="8"/>
      <c r="E22" s="10">
        <v>36</v>
      </c>
      <c r="G22" s="55">
        <v>23</v>
      </c>
      <c r="I22" s="55">
        <v>22</v>
      </c>
      <c r="K22" s="55">
        <v>34</v>
      </c>
      <c r="M22" s="10">
        <v>29</v>
      </c>
      <c r="O22" s="55">
        <v>10</v>
      </c>
      <c r="P22" s="106">
        <v>1</v>
      </c>
      <c r="Q22" s="55">
        <f t="shared" si="5"/>
        <v>11</v>
      </c>
      <c r="R22" s="8"/>
      <c r="S22" s="10">
        <v>2</v>
      </c>
      <c r="T22" s="10">
        <v>2</v>
      </c>
      <c r="U22" s="10">
        <v>2</v>
      </c>
      <c r="V22" s="10">
        <v>1</v>
      </c>
      <c r="W22" s="10">
        <f t="shared" si="6"/>
        <v>7</v>
      </c>
      <c r="X22" s="10"/>
      <c r="Y22" s="10">
        <v>1</v>
      </c>
      <c r="Z22" s="10">
        <v>1</v>
      </c>
      <c r="AA22" s="10">
        <v>0</v>
      </c>
      <c r="AB22" s="10">
        <v>0</v>
      </c>
      <c r="AC22" s="10">
        <f t="shared" si="7"/>
        <v>2</v>
      </c>
    </row>
    <row r="23" spans="2:29" ht="14.5" x14ac:dyDescent="0.25">
      <c r="B23" s="39" t="s">
        <v>76</v>
      </c>
      <c r="C23" s="8"/>
      <c r="E23" s="10">
        <v>0</v>
      </c>
      <c r="G23" s="55">
        <v>0</v>
      </c>
      <c r="I23" s="55">
        <v>0</v>
      </c>
      <c r="K23" s="55">
        <f>250</f>
        <v>250</v>
      </c>
      <c r="M23" s="10">
        <v>201</v>
      </c>
      <c r="O23" s="55">
        <v>78</v>
      </c>
      <c r="P23" s="106">
        <v>24</v>
      </c>
      <c r="Q23" s="55">
        <f t="shared" si="5"/>
        <v>102</v>
      </c>
      <c r="R23" s="8"/>
      <c r="S23" s="10">
        <v>61</v>
      </c>
      <c r="T23" s="10">
        <v>30</v>
      </c>
      <c r="U23" s="10">
        <v>53</v>
      </c>
      <c r="V23" s="10">
        <v>52</v>
      </c>
      <c r="W23" s="10">
        <f t="shared" si="6"/>
        <v>196</v>
      </c>
      <c r="X23" s="10"/>
      <c r="Y23" s="10">
        <v>21</v>
      </c>
      <c r="Z23" s="10">
        <v>67</v>
      </c>
      <c r="AA23" s="10">
        <v>0</v>
      </c>
      <c r="AB23" s="10">
        <v>0</v>
      </c>
      <c r="AC23" s="10">
        <f t="shared" si="7"/>
        <v>88</v>
      </c>
    </row>
    <row r="24" spans="2:29" x14ac:dyDescent="0.25">
      <c r="B24" s="39" t="s">
        <v>70</v>
      </c>
      <c r="C24" s="8"/>
      <c r="E24" s="10">
        <v>0</v>
      </c>
      <c r="G24" s="55">
        <v>62</v>
      </c>
      <c r="I24" s="55">
        <v>65</v>
      </c>
      <c r="K24" s="55">
        <f>61</f>
        <v>61</v>
      </c>
      <c r="M24" s="10">
        <v>68</v>
      </c>
      <c r="O24" s="55">
        <v>53</v>
      </c>
      <c r="P24" s="106">
        <v>10</v>
      </c>
      <c r="Q24" s="55">
        <f t="shared" si="5"/>
        <v>63</v>
      </c>
      <c r="R24" s="8"/>
      <c r="S24" s="10">
        <v>24</v>
      </c>
      <c r="T24" s="10">
        <v>17</v>
      </c>
      <c r="U24" s="10">
        <v>29</v>
      </c>
      <c r="V24" s="10">
        <v>26</v>
      </c>
      <c r="W24" s="10">
        <f t="shared" si="6"/>
        <v>96</v>
      </c>
      <c r="X24" s="10"/>
      <c r="Y24" s="10">
        <v>24</v>
      </c>
      <c r="Z24" s="10">
        <v>33</v>
      </c>
      <c r="AA24" s="10">
        <v>0</v>
      </c>
      <c r="AB24" s="10">
        <v>0</v>
      </c>
      <c r="AC24" s="10">
        <f t="shared" si="7"/>
        <v>57</v>
      </c>
    </row>
    <row r="25" spans="2:29" ht="14.5" x14ac:dyDescent="0.25">
      <c r="B25" s="39" t="s">
        <v>52</v>
      </c>
      <c r="C25" s="8"/>
      <c r="E25" s="10">
        <v>0</v>
      </c>
      <c r="G25" s="55">
        <v>0</v>
      </c>
      <c r="I25" s="55">
        <v>0</v>
      </c>
      <c r="K25" s="55">
        <f>36</f>
        <v>36</v>
      </c>
      <c r="M25" s="10">
        <v>40</v>
      </c>
      <c r="O25" s="55">
        <v>35</v>
      </c>
      <c r="P25" s="106">
        <v>8</v>
      </c>
      <c r="Q25" s="55">
        <f t="shared" si="5"/>
        <v>43</v>
      </c>
      <c r="R25" s="8"/>
      <c r="S25" s="10">
        <v>12</v>
      </c>
      <c r="T25" s="10">
        <v>14</v>
      </c>
      <c r="U25" s="10">
        <v>11</v>
      </c>
      <c r="V25" s="10">
        <v>14</v>
      </c>
      <c r="W25" s="10">
        <f t="shared" si="6"/>
        <v>51</v>
      </c>
      <c r="X25" s="10"/>
      <c r="Y25" s="10">
        <v>12</v>
      </c>
      <c r="Z25" s="10">
        <v>12</v>
      </c>
      <c r="AA25" s="10">
        <v>0</v>
      </c>
      <c r="AB25" s="10">
        <v>0</v>
      </c>
      <c r="AC25" s="10">
        <f t="shared" si="7"/>
        <v>24</v>
      </c>
    </row>
    <row r="26" spans="2:29" x14ac:dyDescent="0.25">
      <c r="B26" s="39" t="s">
        <v>71</v>
      </c>
      <c r="C26" s="8"/>
      <c r="E26" s="10">
        <f>20</f>
        <v>20</v>
      </c>
      <c r="G26" s="55">
        <f>22</f>
        <v>22</v>
      </c>
      <c r="I26" s="55">
        <f>25</f>
        <v>25</v>
      </c>
      <c r="K26" s="55">
        <f>27</f>
        <v>27</v>
      </c>
      <c r="M26" s="10">
        <f>36</f>
        <v>36</v>
      </c>
      <c r="O26" s="55">
        <v>33</v>
      </c>
      <c r="P26" s="106">
        <f>8</f>
        <v>8</v>
      </c>
      <c r="Q26" s="55">
        <f t="shared" ref="Q26" si="8">O26+P26</f>
        <v>41</v>
      </c>
      <c r="R26" s="8"/>
      <c r="S26" s="10">
        <v>13</v>
      </c>
      <c r="T26" s="10">
        <v>13</v>
      </c>
      <c r="U26" s="10">
        <v>13</v>
      </c>
      <c r="V26" s="10">
        <v>11</v>
      </c>
      <c r="W26" s="10">
        <f t="shared" si="6"/>
        <v>50</v>
      </c>
      <c r="X26" s="10"/>
      <c r="Y26" s="10">
        <v>11</v>
      </c>
      <c r="Z26" s="10">
        <v>11</v>
      </c>
      <c r="AA26" s="10">
        <v>0</v>
      </c>
      <c r="AB26" s="10">
        <v>0</v>
      </c>
      <c r="AC26" s="10">
        <f t="shared" si="7"/>
        <v>22</v>
      </c>
    </row>
    <row r="27" spans="2:29" x14ac:dyDescent="0.25">
      <c r="B27" s="39" t="s">
        <v>72</v>
      </c>
      <c r="C27" s="8"/>
      <c r="E27" s="69">
        <f>168-1-20</f>
        <v>147</v>
      </c>
      <c r="G27" s="70">
        <f>79-62-22</f>
        <v>-5</v>
      </c>
      <c r="I27" s="70">
        <f>106-65-25</f>
        <v>16</v>
      </c>
      <c r="K27" s="70">
        <f>399-250-61-36-27</f>
        <v>25</v>
      </c>
      <c r="M27" s="69">
        <f>54-36</f>
        <v>18</v>
      </c>
      <c r="O27" s="55">
        <v>56</v>
      </c>
      <c r="P27" s="106">
        <f>17-8</f>
        <v>9</v>
      </c>
      <c r="Q27" s="148">
        <f t="shared" si="5"/>
        <v>65</v>
      </c>
      <c r="R27" s="8"/>
      <c r="S27" s="69">
        <f>30-13</f>
        <v>17</v>
      </c>
      <c r="T27" s="69">
        <f>23-13</f>
        <v>10</v>
      </c>
      <c r="U27" s="69">
        <v>4</v>
      </c>
      <c r="V27" s="69">
        <v>-2</v>
      </c>
      <c r="W27" s="69">
        <f t="shared" si="6"/>
        <v>29</v>
      </c>
      <c r="X27" s="18"/>
      <c r="Y27" s="69">
        <v>14</v>
      </c>
      <c r="Z27" s="69">
        <v>9</v>
      </c>
      <c r="AA27" s="69">
        <v>0</v>
      </c>
      <c r="AB27" s="69">
        <v>0</v>
      </c>
      <c r="AC27" s="69">
        <f t="shared" si="7"/>
        <v>23</v>
      </c>
    </row>
    <row r="28" spans="2:29" x14ac:dyDescent="0.25">
      <c r="B28" s="7" t="s">
        <v>73</v>
      </c>
      <c r="C28" s="8"/>
      <c r="E28" s="9">
        <f>SUM(E17:E27)</f>
        <v>7517</v>
      </c>
      <c r="F28" s="12"/>
      <c r="G28" s="9">
        <f>SUM(G17:G27)</f>
        <v>1840</v>
      </c>
      <c r="H28" s="12"/>
      <c r="I28" s="9">
        <f>SUM(I17:I27)</f>
        <v>1933</v>
      </c>
      <c r="K28" s="9">
        <f>SUM(K17:K27)</f>
        <v>2295</v>
      </c>
      <c r="M28" s="9">
        <f>SUM(M17:M27)</f>
        <v>2205</v>
      </c>
      <c r="O28" s="138">
        <f>SUM(O17:O27)</f>
        <v>3186</v>
      </c>
      <c r="P28" s="97">
        <f>SUM(P17:P27)</f>
        <v>258</v>
      </c>
      <c r="Q28" s="149">
        <f>SUM(Q17:Q27)</f>
        <v>3444</v>
      </c>
      <c r="R28" s="8"/>
      <c r="S28" s="9">
        <f>SUM(S17:S27)</f>
        <v>436</v>
      </c>
      <c r="T28" s="9">
        <f>SUM(T17:T27)</f>
        <v>394</v>
      </c>
      <c r="U28" s="9">
        <f>SUM(U17:U27)</f>
        <v>468</v>
      </c>
      <c r="V28" s="9">
        <f>SUM(V17:V27)</f>
        <v>422</v>
      </c>
      <c r="W28" s="64">
        <f>SUM(W17:W27)</f>
        <v>1720</v>
      </c>
      <c r="X28" s="18"/>
      <c r="Y28" s="9">
        <f>SUM(Y17:Y27)</f>
        <v>396</v>
      </c>
      <c r="Z28" s="9">
        <f>SUM(Z17:Z27)</f>
        <v>473</v>
      </c>
      <c r="AA28" s="9">
        <f>SUM(AA17:AA27)</f>
        <v>0</v>
      </c>
      <c r="AB28" s="9">
        <f>SUM(AB17:AB27)</f>
        <v>0</v>
      </c>
      <c r="AC28" s="64">
        <f>SUM(AC17:AC27)</f>
        <v>869</v>
      </c>
    </row>
    <row r="29" spans="2:29" s="36" customFormat="1" ht="12.5" customHeight="1" x14ac:dyDescent="0.25">
      <c r="B29" s="132" t="s">
        <v>77</v>
      </c>
      <c r="C29" s="124"/>
      <c r="E29" s="70">
        <v>0</v>
      </c>
      <c r="F29" s="51"/>
      <c r="G29" s="70">
        <f>30</f>
        <v>30</v>
      </c>
      <c r="H29" s="51"/>
      <c r="I29" s="70">
        <f>21</f>
        <v>21</v>
      </c>
      <c r="K29" s="70">
        <f>5</f>
        <v>5</v>
      </c>
      <c r="M29" s="70">
        <v>0</v>
      </c>
      <c r="O29" s="70">
        <v>0</v>
      </c>
      <c r="P29" s="133">
        <v>0</v>
      </c>
      <c r="Q29" s="70">
        <f t="shared" ref="Q29" si="9">O29+P29</f>
        <v>0</v>
      </c>
      <c r="R29" s="124"/>
      <c r="S29" s="70">
        <f>2</f>
        <v>2</v>
      </c>
      <c r="T29" s="70">
        <v>0</v>
      </c>
      <c r="U29" s="70">
        <f>2</f>
        <v>2</v>
      </c>
      <c r="V29" s="70">
        <f>120</f>
        <v>120</v>
      </c>
      <c r="W29" s="70">
        <f t="shared" ref="W29" si="10">+S29+T29+U29+V29</f>
        <v>124</v>
      </c>
      <c r="X29" s="71"/>
      <c r="Y29" s="70">
        <v>54</v>
      </c>
      <c r="Z29" s="70">
        <v>4</v>
      </c>
      <c r="AA29" s="70">
        <v>0</v>
      </c>
      <c r="AB29" s="70">
        <v>0</v>
      </c>
      <c r="AC29" s="70">
        <f t="shared" ref="AC29" si="11">+Y29+Z29+AA29+AB29</f>
        <v>58</v>
      </c>
    </row>
    <row r="30" spans="2:29" ht="13" x14ac:dyDescent="0.3">
      <c r="B30" s="1" t="s">
        <v>29</v>
      </c>
      <c r="C30" s="8"/>
      <c r="E30" s="18">
        <f>+E14-E28-E29</f>
        <v>-5114</v>
      </c>
      <c r="F30" s="12"/>
      <c r="G30" s="18">
        <f>+G14-G28+G29</f>
        <v>-263</v>
      </c>
      <c r="I30" s="18">
        <f>+I14-I28+I29</f>
        <v>94</v>
      </c>
      <c r="K30" s="18">
        <f>+K14-K28+K29</f>
        <v>774</v>
      </c>
      <c r="M30" s="18">
        <f>+M14-M28-M29</f>
        <v>429</v>
      </c>
      <c r="O30" s="71">
        <f>+O14-O28-O29</f>
        <v>-1779</v>
      </c>
      <c r="P30" s="106">
        <f>+P14-P28-P29</f>
        <v>-106</v>
      </c>
      <c r="Q30" s="71">
        <f>+Q14-Q28+Q29</f>
        <v>-1885</v>
      </c>
      <c r="R30" s="8"/>
      <c r="S30" s="18">
        <f>+S14-S28+S29</f>
        <v>-71</v>
      </c>
      <c r="T30" s="18">
        <f>+T14-T28+T29</f>
        <v>-90</v>
      </c>
      <c r="U30" s="18">
        <f>+U14-U28+U29</f>
        <v>122</v>
      </c>
      <c r="V30" s="18">
        <f>+V14-V28+V29</f>
        <v>332</v>
      </c>
      <c r="W30" s="18">
        <f>+W14-W28+W29</f>
        <v>293</v>
      </c>
      <c r="X30" s="18"/>
      <c r="Y30" s="18">
        <f>+Y14-Y28+Y29</f>
        <v>-189</v>
      </c>
      <c r="Z30" s="18">
        <f>+Z14-Z28+Z29</f>
        <v>278</v>
      </c>
      <c r="AA30" s="18">
        <f>+AA14-AA28+AA29</f>
        <v>0</v>
      </c>
      <c r="AB30" s="18">
        <f>+AB14-AB28+AB29</f>
        <v>0</v>
      </c>
      <c r="AC30" s="18">
        <f>+AC14-AC28+AC29</f>
        <v>89</v>
      </c>
    </row>
    <row r="31" spans="2:29" ht="4.1500000000000004" customHeight="1" x14ac:dyDescent="0.25">
      <c r="B31" s="7"/>
      <c r="C31" s="8"/>
      <c r="E31" s="25"/>
      <c r="G31" s="25"/>
      <c r="I31" s="63"/>
      <c r="K31" s="63"/>
      <c r="M31" s="25"/>
      <c r="O31" s="63"/>
      <c r="P31" s="103"/>
      <c r="Q31" s="63"/>
      <c r="R31" s="8"/>
      <c r="S31" s="25"/>
      <c r="T31" s="25"/>
      <c r="U31" s="25"/>
      <c r="V31" s="25"/>
      <c r="W31" s="25"/>
      <c r="X31" s="25"/>
      <c r="Y31" s="25"/>
      <c r="Z31" s="25"/>
      <c r="AA31" s="25"/>
      <c r="AB31" s="25"/>
      <c r="AC31" s="25"/>
    </row>
    <row r="32" spans="2:29" ht="13.9" customHeight="1" x14ac:dyDescent="0.3">
      <c r="B32" s="1" t="s">
        <v>81</v>
      </c>
      <c r="C32" s="8"/>
      <c r="E32" s="25"/>
      <c r="G32" s="25"/>
      <c r="I32" s="63"/>
      <c r="K32" s="63"/>
      <c r="M32" s="25"/>
      <c r="O32" s="63"/>
      <c r="P32" s="103"/>
      <c r="Q32" s="63"/>
      <c r="R32" s="8"/>
      <c r="S32" s="25"/>
      <c r="T32" s="25"/>
      <c r="U32" s="25"/>
      <c r="V32" s="25"/>
      <c r="W32" s="25"/>
      <c r="X32" s="25"/>
      <c r="Y32" s="25"/>
      <c r="Z32" s="25"/>
      <c r="AA32" s="25"/>
      <c r="AB32" s="25"/>
      <c r="AC32" s="25"/>
    </row>
    <row r="33" spans="2:30" ht="13.9" customHeight="1" x14ac:dyDescent="0.25">
      <c r="B33" s="68" t="s">
        <v>78</v>
      </c>
      <c r="C33" s="8"/>
      <c r="E33" s="10">
        <v>0</v>
      </c>
      <c r="G33" s="10">
        <v>0</v>
      </c>
      <c r="I33" s="55">
        <v>0</v>
      </c>
      <c r="K33" s="55">
        <v>0</v>
      </c>
      <c r="M33" s="10">
        <v>0</v>
      </c>
      <c r="O33" s="55">
        <v>4060</v>
      </c>
      <c r="P33" s="106">
        <v>-3</v>
      </c>
      <c r="Q33" s="55">
        <f t="shared" ref="Q33:Q37" si="12">O33+P33</f>
        <v>4057</v>
      </c>
      <c r="R33" s="8"/>
      <c r="S33" s="10">
        <v>-2</v>
      </c>
      <c r="T33" s="10">
        <v>-2</v>
      </c>
      <c r="U33" s="10">
        <v>-1</v>
      </c>
      <c r="V33" s="10">
        <v>-1</v>
      </c>
      <c r="W33" s="10">
        <f t="shared" ref="W33:W37" si="13">+S33+T33+U33+V33</f>
        <v>-6</v>
      </c>
      <c r="X33" s="10"/>
      <c r="Y33" s="10">
        <v>0</v>
      </c>
      <c r="Z33" s="10">
        <v>0</v>
      </c>
      <c r="AA33" s="10">
        <v>0</v>
      </c>
      <c r="AB33" s="10">
        <v>0</v>
      </c>
      <c r="AC33" s="10">
        <f t="shared" ref="AC33:AC37" si="14">+Y33+Z33+AA33+AB33</f>
        <v>0</v>
      </c>
    </row>
    <row r="34" spans="2:30" ht="13.9" customHeight="1" x14ac:dyDescent="0.25">
      <c r="B34" s="68" t="s">
        <v>19</v>
      </c>
      <c r="C34" s="8"/>
      <c r="E34" s="10">
        <v>-326</v>
      </c>
      <c r="G34" s="10">
        <v>-328</v>
      </c>
      <c r="I34" s="55">
        <v>-343</v>
      </c>
      <c r="K34" s="55">
        <v>-379</v>
      </c>
      <c r="M34" s="10">
        <v>-383</v>
      </c>
      <c r="O34" s="55">
        <v>-206</v>
      </c>
      <c r="P34" s="106">
        <v>-11</v>
      </c>
      <c r="Q34" s="55">
        <f t="shared" si="12"/>
        <v>-217</v>
      </c>
      <c r="R34" s="8"/>
      <c r="S34" s="10">
        <v>-13</v>
      </c>
      <c r="T34" s="10">
        <v>-13</v>
      </c>
      <c r="U34" s="10">
        <v>-14</v>
      </c>
      <c r="V34" s="10">
        <v>-14</v>
      </c>
      <c r="W34" s="10">
        <f t="shared" si="13"/>
        <v>-54</v>
      </c>
      <c r="X34" s="10"/>
      <c r="Y34" s="10">
        <v>-13</v>
      </c>
      <c r="Z34" s="10">
        <v>-13</v>
      </c>
      <c r="AA34" s="10">
        <v>0</v>
      </c>
      <c r="AB34" s="10">
        <v>0</v>
      </c>
      <c r="AC34" s="10">
        <f t="shared" si="14"/>
        <v>-26</v>
      </c>
    </row>
    <row r="35" spans="2:30" ht="13.9" customHeight="1" x14ac:dyDescent="0.25">
      <c r="B35" s="68" t="s">
        <v>65</v>
      </c>
      <c r="C35" s="8"/>
      <c r="E35" s="10">
        <v>20</v>
      </c>
      <c r="G35" s="10">
        <v>805</v>
      </c>
      <c r="I35" s="55">
        <v>4</v>
      </c>
      <c r="K35" s="55">
        <v>57</v>
      </c>
      <c r="M35" s="10">
        <v>126</v>
      </c>
      <c r="O35" s="55">
        <v>5</v>
      </c>
      <c r="P35" s="106">
        <v>0</v>
      </c>
      <c r="Q35" s="55">
        <f t="shared" si="12"/>
        <v>5</v>
      </c>
      <c r="R35" s="8"/>
      <c r="S35" s="10">
        <v>-2</v>
      </c>
      <c r="T35" s="10">
        <v>0</v>
      </c>
      <c r="U35" s="10">
        <v>0</v>
      </c>
      <c r="V35" s="10">
        <v>0</v>
      </c>
      <c r="W35" s="10">
        <f t="shared" si="13"/>
        <v>-2</v>
      </c>
      <c r="X35" s="10"/>
      <c r="Y35" s="10">
        <v>0</v>
      </c>
      <c r="Z35" s="10">
        <v>0</v>
      </c>
      <c r="AA35" s="10">
        <v>0</v>
      </c>
      <c r="AB35" s="10">
        <v>0</v>
      </c>
      <c r="AC35" s="10">
        <f t="shared" si="14"/>
        <v>0</v>
      </c>
    </row>
    <row r="36" spans="2:30" ht="13.9" hidden="1" customHeight="1" x14ac:dyDescent="0.25">
      <c r="B36" s="68"/>
      <c r="C36" s="8"/>
      <c r="E36" s="10">
        <v>0</v>
      </c>
      <c r="G36" s="10">
        <f>30-30</f>
        <v>0</v>
      </c>
      <c r="I36" s="55">
        <f>21-21</f>
        <v>0</v>
      </c>
      <c r="K36" s="55">
        <f>5-5</f>
        <v>0</v>
      </c>
      <c r="M36" s="55">
        <v>0</v>
      </c>
      <c r="O36" s="55">
        <v>0</v>
      </c>
      <c r="P36" s="106"/>
      <c r="Q36" s="55">
        <f t="shared" si="12"/>
        <v>0</v>
      </c>
      <c r="R36" s="8"/>
      <c r="S36" s="10">
        <v>0</v>
      </c>
      <c r="T36" s="10">
        <v>0</v>
      </c>
      <c r="U36" s="10">
        <v>0</v>
      </c>
      <c r="V36" s="10">
        <v>0</v>
      </c>
      <c r="W36" s="55">
        <f t="shared" si="13"/>
        <v>0</v>
      </c>
      <c r="X36" s="55"/>
      <c r="Y36" s="10">
        <v>0</v>
      </c>
      <c r="Z36" s="10">
        <v>0</v>
      </c>
      <c r="AA36" s="10">
        <v>0</v>
      </c>
      <c r="AB36" s="10">
        <v>0</v>
      </c>
      <c r="AC36" s="55">
        <f t="shared" si="14"/>
        <v>0</v>
      </c>
    </row>
    <row r="37" spans="2:30" ht="13.9" customHeight="1" x14ac:dyDescent="0.25">
      <c r="B37" s="68" t="s">
        <v>79</v>
      </c>
      <c r="C37" s="8"/>
      <c r="E37" s="69">
        <f>-28-28</f>
        <v>-56</v>
      </c>
      <c r="G37" s="69">
        <f>-13</f>
        <v>-13</v>
      </c>
      <c r="I37" s="70">
        <f>-17</f>
        <v>-17</v>
      </c>
      <c r="K37" s="70">
        <f>-23</f>
        <v>-23</v>
      </c>
      <c r="M37" s="70">
        <v>-72</v>
      </c>
      <c r="O37" s="70">
        <v>-84</v>
      </c>
      <c r="P37" s="133">
        <v>-5</v>
      </c>
      <c r="Q37" s="70">
        <f t="shared" si="12"/>
        <v>-89</v>
      </c>
      <c r="R37" s="8"/>
      <c r="S37" s="69">
        <f>-1</f>
        <v>-1</v>
      </c>
      <c r="T37" s="69">
        <v>-2</v>
      </c>
      <c r="U37" s="69">
        <v>0</v>
      </c>
      <c r="V37" s="69">
        <v>1</v>
      </c>
      <c r="W37" s="70">
        <f t="shared" si="13"/>
        <v>-2</v>
      </c>
      <c r="X37" s="71"/>
      <c r="Y37" s="69">
        <v>1</v>
      </c>
      <c r="Z37" s="69">
        <v>1</v>
      </c>
      <c r="AA37" s="69">
        <v>0</v>
      </c>
      <c r="AB37" s="69">
        <v>0</v>
      </c>
      <c r="AC37" s="70">
        <f t="shared" si="14"/>
        <v>2</v>
      </c>
    </row>
    <row r="38" spans="2:30" ht="14.65" customHeight="1" x14ac:dyDescent="0.3">
      <c r="B38" s="1" t="s">
        <v>26</v>
      </c>
      <c r="C38" s="8"/>
      <c r="E38" s="10">
        <f>+E30+E33+E34+E35+E37+E36</f>
        <v>-5476</v>
      </c>
      <c r="G38" s="10">
        <f>+G30+G33+G34+G35+G37+G36</f>
        <v>201</v>
      </c>
      <c r="I38" s="10">
        <f>+I30+I33+I34+I35+I37+I36</f>
        <v>-262</v>
      </c>
      <c r="K38" s="10">
        <f>+K30+K33+K34+K35+K37+K36</f>
        <v>429</v>
      </c>
      <c r="M38" s="10">
        <f t="shared" ref="M38" si="15">+M30+M33+M34+M35+M37+M36</f>
        <v>100</v>
      </c>
      <c r="O38" s="55">
        <f t="shared" ref="O38:Q38" si="16">+O30+O33+O34+O35+O37+O36</f>
        <v>1996</v>
      </c>
      <c r="P38" s="106">
        <f t="shared" si="16"/>
        <v>-125</v>
      </c>
      <c r="Q38" s="55">
        <f t="shared" si="16"/>
        <v>1871</v>
      </c>
      <c r="R38" s="8"/>
      <c r="S38" s="10">
        <f t="shared" ref="S38:W38" si="17">+S30+S33+S34+S35+S37+S36</f>
        <v>-89</v>
      </c>
      <c r="T38" s="10">
        <f t="shared" si="17"/>
        <v>-107</v>
      </c>
      <c r="U38" s="10">
        <f t="shared" si="17"/>
        <v>107</v>
      </c>
      <c r="V38" s="10">
        <f t="shared" si="17"/>
        <v>318</v>
      </c>
      <c r="W38" s="55">
        <f t="shared" si="17"/>
        <v>229</v>
      </c>
      <c r="X38" s="10"/>
      <c r="Y38" s="10">
        <f t="shared" ref="Y38:AC38" si="18">+Y30+Y33+Y34+Y35+Y37+Y36</f>
        <v>-201</v>
      </c>
      <c r="Z38" s="10">
        <f t="shared" si="18"/>
        <v>266</v>
      </c>
      <c r="AA38" s="10">
        <f t="shared" si="18"/>
        <v>0</v>
      </c>
      <c r="AB38" s="10">
        <f t="shared" si="18"/>
        <v>0</v>
      </c>
      <c r="AC38" s="55">
        <f t="shared" si="18"/>
        <v>65</v>
      </c>
    </row>
    <row r="39" spans="2:30" ht="14.65" customHeight="1" x14ac:dyDescent="0.25">
      <c r="B39" s="39" t="s">
        <v>91</v>
      </c>
      <c r="C39" s="8"/>
      <c r="E39" s="10">
        <v>1922</v>
      </c>
      <c r="G39" s="10">
        <v>78</v>
      </c>
      <c r="I39" s="55">
        <v>0</v>
      </c>
      <c r="K39" s="55">
        <v>0</v>
      </c>
      <c r="M39" s="55">
        <v>-1</v>
      </c>
      <c r="O39" s="70">
        <v>0</v>
      </c>
      <c r="P39" s="133">
        <v>0</v>
      </c>
      <c r="Q39" s="55">
        <f t="shared" ref="Q39" si="19">O39+P39</f>
        <v>0</v>
      </c>
      <c r="R39" s="8"/>
      <c r="S39" s="10">
        <v>0</v>
      </c>
      <c r="T39" s="10">
        <v>0</v>
      </c>
      <c r="U39" s="10">
        <v>0</v>
      </c>
      <c r="V39" s="10">
        <v>396</v>
      </c>
      <c r="W39" s="55">
        <f t="shared" ref="W39" si="20">+S39+T39+U39+V39</f>
        <v>396</v>
      </c>
      <c r="X39" s="55"/>
      <c r="Y39" s="10">
        <v>26</v>
      </c>
      <c r="Z39" s="10">
        <v>-76</v>
      </c>
      <c r="AA39" s="10">
        <v>0</v>
      </c>
      <c r="AB39" s="10">
        <v>0</v>
      </c>
      <c r="AC39" s="55">
        <f t="shared" ref="AC39" si="21">+Y39+Z39+AA39+AB39</f>
        <v>-50</v>
      </c>
    </row>
    <row r="40" spans="2:30" s="11" customFormat="1" ht="14.65" customHeight="1" x14ac:dyDescent="0.3">
      <c r="B40" s="1" t="s">
        <v>27</v>
      </c>
      <c r="C40" s="31"/>
      <c r="D40" s="30"/>
      <c r="E40" s="19">
        <f>+E38+E39</f>
        <v>-3554</v>
      </c>
      <c r="F40" s="35"/>
      <c r="G40" s="19">
        <f>+G38+G39</f>
        <v>279</v>
      </c>
      <c r="H40" s="72"/>
      <c r="I40" s="19">
        <f>+I38+I39</f>
        <v>-262</v>
      </c>
      <c r="K40" s="19">
        <f>+K38+K39</f>
        <v>429</v>
      </c>
      <c r="M40" s="19">
        <f t="shared" ref="M40" si="22">+M38+M39</f>
        <v>99</v>
      </c>
      <c r="O40" s="75">
        <f t="shared" ref="O40" si="23">+O38+O39</f>
        <v>1996</v>
      </c>
      <c r="P40" s="107">
        <f t="shared" ref="P40" si="24">+P38+P39</f>
        <v>-125</v>
      </c>
      <c r="Q40" s="75">
        <f>+Q38+Q39</f>
        <v>1871</v>
      </c>
      <c r="R40" s="8"/>
      <c r="S40" s="19">
        <f>+S38+S39</f>
        <v>-89</v>
      </c>
      <c r="T40" s="19">
        <f>+T38+T39</f>
        <v>-107</v>
      </c>
      <c r="U40" s="19">
        <f>+U38+U39</f>
        <v>107</v>
      </c>
      <c r="V40" s="19">
        <f>+V38+V39</f>
        <v>714</v>
      </c>
      <c r="W40" s="19">
        <f t="shared" ref="W40" si="25">+W38+W39</f>
        <v>625</v>
      </c>
      <c r="X40" s="18"/>
      <c r="Y40" s="19">
        <f>+Y38+Y39</f>
        <v>-175</v>
      </c>
      <c r="Z40" s="19">
        <f>+Z38+Z39</f>
        <v>190</v>
      </c>
      <c r="AA40" s="19">
        <f>+AA38+AA39</f>
        <v>0</v>
      </c>
      <c r="AB40" s="19">
        <f>+AB38+AB39</f>
        <v>0</v>
      </c>
      <c r="AC40" s="19">
        <f t="shared" ref="AC40" si="26">+AC38+AC39</f>
        <v>15</v>
      </c>
    </row>
    <row r="41" spans="2:30" s="11" customFormat="1" ht="3.65" customHeight="1" x14ac:dyDescent="0.3">
      <c r="B41" s="1"/>
      <c r="C41" s="31"/>
      <c r="D41" s="30"/>
      <c r="E41" s="18"/>
      <c r="F41" s="35"/>
      <c r="G41" s="18"/>
      <c r="H41" s="72"/>
      <c r="I41" s="18"/>
      <c r="K41" s="18"/>
      <c r="M41" s="18"/>
      <c r="O41" s="71"/>
      <c r="P41" s="106"/>
      <c r="Q41" s="71"/>
      <c r="R41" s="8"/>
      <c r="S41" s="18"/>
      <c r="T41" s="18"/>
      <c r="U41" s="18"/>
      <c r="V41" s="18"/>
      <c r="W41" s="18"/>
      <c r="X41" s="18"/>
      <c r="Y41" s="18"/>
      <c r="Z41" s="18"/>
      <c r="AA41" s="18"/>
      <c r="AB41" s="18"/>
      <c r="AC41" s="18"/>
    </row>
    <row r="42" spans="2:30" s="11" customFormat="1" ht="14.65" customHeight="1" x14ac:dyDescent="0.3">
      <c r="B42" s="87" t="s">
        <v>44</v>
      </c>
      <c r="C42" s="31"/>
      <c r="D42" s="30"/>
      <c r="E42" s="18"/>
      <c r="F42" s="12"/>
      <c r="G42" s="18"/>
      <c r="H42"/>
      <c r="I42" s="18"/>
      <c r="K42" s="18"/>
      <c r="M42" s="18"/>
      <c r="N42" s="72"/>
      <c r="O42" s="58"/>
      <c r="P42" s="139"/>
      <c r="Q42" s="58"/>
      <c r="R42" s="8"/>
      <c r="S42" s="18"/>
      <c r="T42" s="41"/>
      <c r="U42" s="41"/>
      <c r="V42" s="41"/>
      <c r="W42" s="18"/>
      <c r="X42" s="18"/>
      <c r="Y42" s="18"/>
      <c r="Z42" s="41"/>
      <c r="AA42" s="41"/>
      <c r="AB42" s="41"/>
      <c r="AC42" s="18"/>
      <c r="AD42" s="72"/>
    </row>
    <row r="43" spans="2:30" s="11" customFormat="1" ht="14.65" customHeight="1" x14ac:dyDescent="0.3">
      <c r="B43" s="74" t="s">
        <v>43</v>
      </c>
      <c r="C43" s="31"/>
      <c r="D43" s="30"/>
      <c r="E43" s="18">
        <v>0</v>
      </c>
      <c r="F43"/>
      <c r="G43" s="18">
        <v>0</v>
      </c>
      <c r="H43"/>
      <c r="I43" s="18">
        <v>0</v>
      </c>
      <c r="K43" s="18">
        <v>-99</v>
      </c>
      <c r="M43" s="10">
        <v>-117</v>
      </c>
      <c r="O43" s="55">
        <v>-94</v>
      </c>
      <c r="P43" s="106">
        <v>0</v>
      </c>
      <c r="Q43" s="55">
        <f t="shared" ref="Q43:Q44" si="27">O43+P43</f>
        <v>-94</v>
      </c>
      <c r="R43" s="8"/>
      <c r="S43" s="18">
        <v>0</v>
      </c>
      <c r="T43" s="41">
        <v>0</v>
      </c>
      <c r="U43" s="41">
        <v>0</v>
      </c>
      <c r="V43" s="41">
        <v>0</v>
      </c>
      <c r="W43" s="10">
        <f t="shared" ref="W43" si="28">+S43+T43+U43+V43</f>
        <v>0</v>
      </c>
      <c r="X43" s="10"/>
      <c r="Y43" s="18">
        <v>0</v>
      </c>
      <c r="Z43" s="41">
        <v>0</v>
      </c>
      <c r="AA43" s="41">
        <v>0</v>
      </c>
      <c r="AB43" s="41">
        <v>0</v>
      </c>
      <c r="AC43" s="10">
        <f t="shared" ref="AC43:AC44" si="29">+Y43+Z43+AA43+AB43</f>
        <v>0</v>
      </c>
    </row>
    <row r="44" spans="2:30" s="11" customFormat="1" ht="14.65" customHeight="1" x14ac:dyDescent="0.3">
      <c r="B44" s="74" t="s">
        <v>80</v>
      </c>
      <c r="C44" s="31"/>
      <c r="D44" s="30"/>
      <c r="E44" s="18">
        <v>0</v>
      </c>
      <c r="F44"/>
      <c r="G44" s="18">
        <v>0</v>
      </c>
      <c r="H44"/>
      <c r="I44" s="18">
        <v>-4</v>
      </c>
      <c r="K44" s="18">
        <v>-2</v>
      </c>
      <c r="M44" s="10">
        <v>-10</v>
      </c>
      <c r="O44" s="70">
        <v>-13</v>
      </c>
      <c r="P44" s="133">
        <v>2</v>
      </c>
      <c r="Q44" s="70">
        <f t="shared" si="27"/>
        <v>-11</v>
      </c>
      <c r="R44" s="8"/>
      <c r="S44" s="69">
        <v>-5</v>
      </c>
      <c r="T44" s="84">
        <v>-4</v>
      </c>
      <c r="U44" s="84">
        <v>-4</v>
      </c>
      <c r="V44" s="84">
        <v>0</v>
      </c>
      <c r="W44" s="10">
        <f t="shared" ref="W44" si="30">+S44+T44+U44+V44</f>
        <v>-13</v>
      </c>
      <c r="X44" s="10"/>
      <c r="Y44" s="69">
        <v>0</v>
      </c>
      <c r="Z44" s="84">
        <v>0</v>
      </c>
      <c r="AA44" s="84">
        <v>0</v>
      </c>
      <c r="AB44" s="84">
        <v>0</v>
      </c>
      <c r="AC44" s="10">
        <f t="shared" si="29"/>
        <v>0</v>
      </c>
    </row>
    <row r="45" spans="2:30" s="11" customFormat="1" ht="14.65" customHeight="1" x14ac:dyDescent="0.3">
      <c r="B45" s="74" t="s">
        <v>45</v>
      </c>
      <c r="C45" s="31"/>
      <c r="D45" s="30"/>
      <c r="E45" s="19">
        <f>SUM(E43:E44)</f>
        <v>0</v>
      </c>
      <c r="F45"/>
      <c r="G45" s="19">
        <f>SUM(G43:G44)</f>
        <v>0</v>
      </c>
      <c r="H45"/>
      <c r="I45" s="19">
        <f>SUM(I43:I44)</f>
        <v>-4</v>
      </c>
      <c r="K45" s="19">
        <f>SUM(K43:K44)</f>
        <v>-101</v>
      </c>
      <c r="M45" s="19">
        <f>SUM(M43:M44)</f>
        <v>-127</v>
      </c>
      <c r="O45" s="71">
        <f t="shared" ref="O45" si="31">SUM(O43:O44)</f>
        <v>-107</v>
      </c>
      <c r="P45" s="106">
        <f t="shared" ref="P45" si="32">SUM(P43:P44)</f>
        <v>2</v>
      </c>
      <c r="Q45" s="71">
        <f>SUM(Q43:Q44)</f>
        <v>-105</v>
      </c>
      <c r="R45" s="8"/>
      <c r="S45" s="18">
        <f>SUM(S43:S44)</f>
        <v>-5</v>
      </c>
      <c r="T45" s="18">
        <f>SUM(T43:T44)</f>
        <v>-4</v>
      </c>
      <c r="U45" s="18">
        <f>SUM(U43:U44)</f>
        <v>-4</v>
      </c>
      <c r="V45" s="18">
        <f>SUM(V43:V44)</f>
        <v>0</v>
      </c>
      <c r="W45" s="19">
        <f>SUM(W43:W44)</f>
        <v>-13</v>
      </c>
      <c r="X45" s="18"/>
      <c r="Y45" s="18">
        <f>SUM(Y43:Y44)</f>
        <v>0</v>
      </c>
      <c r="Z45" s="18">
        <f>SUM(Z43:Z44)</f>
        <v>0</v>
      </c>
      <c r="AA45" s="18">
        <f>SUM(AA43:AA44)</f>
        <v>0</v>
      </c>
      <c r="AB45" s="18">
        <f>SUM(AB43:AB44)</f>
        <v>0</v>
      </c>
      <c r="AC45" s="19">
        <f>SUM(AC43:AC44)</f>
        <v>0</v>
      </c>
    </row>
    <row r="46" spans="2:30" s="11" customFormat="1" ht="4.1500000000000004" customHeight="1" x14ac:dyDescent="0.3">
      <c r="B46" s="74"/>
      <c r="C46" s="31"/>
      <c r="D46" s="30"/>
      <c r="E46" s="18"/>
      <c r="F46"/>
      <c r="G46" s="18"/>
      <c r="H46"/>
      <c r="I46" s="18"/>
      <c r="K46" s="18"/>
      <c r="M46" s="18"/>
      <c r="O46" s="58"/>
      <c r="P46" s="139"/>
      <c r="Q46" s="58"/>
      <c r="R46" s="8"/>
      <c r="S46" s="18"/>
      <c r="T46" s="41"/>
      <c r="U46" s="41"/>
      <c r="V46" s="41"/>
      <c r="W46" s="18"/>
      <c r="X46" s="18"/>
      <c r="Y46" s="18"/>
      <c r="Z46" s="41"/>
      <c r="AA46" s="41"/>
      <c r="AB46" s="41"/>
      <c r="AC46" s="18"/>
    </row>
    <row r="47" spans="2:30" ht="14.65" customHeight="1" thickBot="1" x14ac:dyDescent="0.35">
      <c r="B47" s="1" t="s">
        <v>28</v>
      </c>
      <c r="E47" s="73">
        <f>+E40+E45</f>
        <v>-3554</v>
      </c>
      <c r="G47" s="73">
        <f>+G40+G45</f>
        <v>279</v>
      </c>
      <c r="I47" s="73">
        <f>+I40+I45</f>
        <v>-266</v>
      </c>
      <c r="K47" s="73">
        <f>+K40+K45</f>
        <v>328</v>
      </c>
      <c r="M47" s="73">
        <f>+M40+M45</f>
        <v>-28</v>
      </c>
      <c r="O47" s="140">
        <f t="shared" ref="O47:P47" si="33">+O40+O45</f>
        <v>1889</v>
      </c>
      <c r="P47" s="141">
        <f t="shared" si="33"/>
        <v>-123</v>
      </c>
      <c r="Q47" s="140">
        <f>+Q40+Q45</f>
        <v>1766</v>
      </c>
      <c r="R47" s="8"/>
      <c r="S47" s="73">
        <f>+S40+S45</f>
        <v>-94</v>
      </c>
      <c r="T47" s="73">
        <f>+T40+T45</f>
        <v>-111</v>
      </c>
      <c r="U47" s="73">
        <f>+U40+U45</f>
        <v>103</v>
      </c>
      <c r="V47" s="73">
        <f>+V40+V45</f>
        <v>714</v>
      </c>
      <c r="W47" s="73">
        <f>+W40+W45</f>
        <v>612</v>
      </c>
      <c r="X47" s="17"/>
      <c r="Y47" s="73">
        <f>+Y40+Y45</f>
        <v>-175</v>
      </c>
      <c r="Z47" s="73">
        <f>+Z40+Z45</f>
        <v>190</v>
      </c>
      <c r="AA47" s="73">
        <f>+AA40+AA45</f>
        <v>0</v>
      </c>
      <c r="AB47" s="73">
        <f>+AB40+AB45</f>
        <v>0</v>
      </c>
      <c r="AC47" s="73">
        <f>+AC40+AC45</f>
        <v>15</v>
      </c>
    </row>
    <row r="48" spans="2:30" ht="13" thickTop="1" x14ac:dyDescent="0.25">
      <c r="C48" s="12"/>
      <c r="E48" s="32"/>
      <c r="P48" s="98"/>
      <c r="U48" s="36"/>
      <c r="AA48" s="36"/>
    </row>
    <row r="49" spans="1:31" x14ac:dyDescent="0.25">
      <c r="C49" s="12"/>
      <c r="E49" s="32"/>
      <c r="P49" s="98"/>
      <c r="U49" s="36"/>
      <c r="AA49" s="36"/>
    </row>
    <row r="50" spans="1:31" x14ac:dyDescent="0.25">
      <c r="C50" s="12"/>
      <c r="E50" s="32"/>
      <c r="P50" s="98"/>
      <c r="U50" s="36"/>
      <c r="AA50" s="36"/>
    </row>
    <row r="51" spans="1:31" x14ac:dyDescent="0.25">
      <c r="B51" s="39" t="s">
        <v>82</v>
      </c>
      <c r="C51" s="12"/>
      <c r="E51" s="17">
        <f>E9</f>
        <v>2134</v>
      </c>
      <c r="G51" s="17">
        <f>G9</f>
        <v>1621</v>
      </c>
      <c r="I51" s="17">
        <f>I9</f>
        <v>1936</v>
      </c>
      <c r="K51" s="17">
        <f>K9</f>
        <v>2590</v>
      </c>
      <c r="M51" s="17">
        <f>M9</f>
        <v>2270</v>
      </c>
      <c r="O51" s="124">
        <f>O9</f>
        <v>1092</v>
      </c>
      <c r="P51" s="125">
        <f>P9</f>
        <v>237</v>
      </c>
      <c r="Q51" s="124">
        <f>Q9</f>
        <v>1329</v>
      </c>
      <c r="S51" s="8">
        <f>S9</f>
        <v>432</v>
      </c>
      <c r="T51" s="8">
        <f>T9</f>
        <v>478</v>
      </c>
      <c r="U51" s="124">
        <f>U9</f>
        <v>549</v>
      </c>
      <c r="V51" s="8">
        <f>V9</f>
        <v>589</v>
      </c>
      <c r="W51" s="8">
        <f>W9</f>
        <v>2048</v>
      </c>
      <c r="X51" s="8"/>
      <c r="Y51" s="8">
        <f>Y9</f>
        <v>628</v>
      </c>
      <c r="Z51" s="8">
        <f>Z9</f>
        <v>718</v>
      </c>
      <c r="AA51" s="124">
        <f>AA9</f>
        <v>0</v>
      </c>
      <c r="AB51" s="8">
        <f>AB9</f>
        <v>0</v>
      </c>
      <c r="AC51" s="8">
        <f>AC9</f>
        <v>1346</v>
      </c>
    </row>
    <row r="52" spans="1:31" x14ac:dyDescent="0.25">
      <c r="B52" t="s">
        <v>83</v>
      </c>
      <c r="C52" s="12"/>
      <c r="E52" s="32">
        <v>81</v>
      </c>
      <c r="F52" s="22"/>
      <c r="G52" s="22">
        <v>77</v>
      </c>
      <c r="H52" s="22"/>
      <c r="I52" s="22">
        <v>-7</v>
      </c>
      <c r="J52" s="22"/>
      <c r="K52" s="22">
        <v>-228</v>
      </c>
      <c r="L52" s="22"/>
      <c r="M52" s="22">
        <f>111</f>
        <v>111</v>
      </c>
      <c r="N52" s="22"/>
      <c r="O52" s="126">
        <v>108</v>
      </c>
      <c r="P52" s="108">
        <v>-1</v>
      </c>
      <c r="Q52" s="126">
        <f>O52+P52</f>
        <v>107</v>
      </c>
      <c r="R52" s="22"/>
      <c r="S52" s="22">
        <v>-39</v>
      </c>
      <c r="T52" s="22">
        <v>-82</v>
      </c>
      <c r="U52" s="126">
        <v>-99</v>
      </c>
      <c r="V52" s="22">
        <v>-99</v>
      </c>
      <c r="W52" s="22">
        <f>SUM(S52:V52)</f>
        <v>-319</v>
      </c>
      <c r="X52" s="22"/>
      <c r="Y52" s="22">
        <v>-181</v>
      </c>
      <c r="Z52" s="126">
        <v>-241</v>
      </c>
      <c r="AA52" s="126">
        <v>0</v>
      </c>
      <c r="AB52" s="22"/>
      <c r="AC52" s="22">
        <f>SUM(Y52:AB52)</f>
        <v>-422</v>
      </c>
    </row>
    <row r="53" spans="1:31" ht="13" thickBot="1" x14ac:dyDescent="0.3">
      <c r="B53" t="s">
        <v>84</v>
      </c>
      <c r="C53" s="12"/>
      <c r="E53" s="73">
        <f>SUM(E51:E52)</f>
        <v>2215</v>
      </c>
      <c r="G53" s="73">
        <f>SUM(G51:G52)</f>
        <v>1698</v>
      </c>
      <c r="I53" s="73">
        <f>SUM(I51:I52)</f>
        <v>1929</v>
      </c>
      <c r="K53" s="73">
        <f>SUM(K51:K52)</f>
        <v>2362</v>
      </c>
      <c r="M53" s="73">
        <f>SUM(M51:M52)</f>
        <v>2381</v>
      </c>
      <c r="O53" s="140">
        <f>SUM(O51:O52)</f>
        <v>1200</v>
      </c>
      <c r="P53" s="141">
        <f>SUM(P51:P52)</f>
        <v>236</v>
      </c>
      <c r="Q53" s="140">
        <f>SUM(Q51:Q52)</f>
        <v>1436</v>
      </c>
      <c r="S53" s="73">
        <f t="shared" ref="S53" si="34">SUM(S51:S52)</f>
        <v>393</v>
      </c>
      <c r="T53" s="73">
        <f t="shared" ref="T53" si="35">SUM(T51:T52)</f>
        <v>396</v>
      </c>
      <c r="U53" s="73">
        <f t="shared" ref="U53" si="36">SUM(U51:U52)</f>
        <v>450</v>
      </c>
      <c r="V53" s="73">
        <f t="shared" ref="V53" si="37">SUM(V51:V52)</f>
        <v>490</v>
      </c>
      <c r="W53" s="73">
        <f t="shared" ref="W53" si="38">SUM(W51:W52)</f>
        <v>1729</v>
      </c>
      <c r="X53" s="17"/>
      <c r="Y53" s="73">
        <f t="shared" ref="Y53:AC53" si="39">SUM(Y51:Y52)</f>
        <v>447</v>
      </c>
      <c r="Z53" s="73">
        <f t="shared" si="39"/>
        <v>477</v>
      </c>
      <c r="AA53" s="73">
        <f t="shared" si="39"/>
        <v>0</v>
      </c>
      <c r="AB53" s="73">
        <f t="shared" si="39"/>
        <v>0</v>
      </c>
      <c r="AC53" s="73">
        <f t="shared" si="39"/>
        <v>924</v>
      </c>
    </row>
    <row r="54" spans="1:31" ht="13.5" thickTop="1" x14ac:dyDescent="0.3">
      <c r="P54" s="98"/>
      <c r="S54" s="11"/>
      <c r="T54" s="11"/>
      <c r="U54" s="36"/>
      <c r="Y54" s="11"/>
      <c r="Z54" s="11"/>
      <c r="AA54" s="36"/>
    </row>
    <row r="55" spans="1:31" ht="16" thickBot="1" x14ac:dyDescent="0.4">
      <c r="B55" s="26" t="s">
        <v>36</v>
      </c>
      <c r="C55" s="28"/>
      <c r="D55" s="44"/>
      <c r="E55" s="44"/>
      <c r="F55" s="28"/>
      <c r="G55" s="28"/>
      <c r="H55" s="28"/>
      <c r="I55" s="28"/>
      <c r="J55" s="28"/>
      <c r="K55" s="28"/>
      <c r="L55" s="28"/>
      <c r="M55" s="28"/>
      <c r="N55" s="28"/>
      <c r="O55" s="44"/>
      <c r="P55" s="104"/>
      <c r="Q55" s="44"/>
      <c r="S55" s="28"/>
      <c r="T55" s="28"/>
      <c r="U55" s="44"/>
      <c r="V55" s="28"/>
      <c r="W55" s="28"/>
      <c r="X55" s="12"/>
      <c r="Y55" s="28"/>
      <c r="Z55" s="28"/>
      <c r="AA55" s="44"/>
      <c r="AB55" s="28"/>
      <c r="AC55" s="28"/>
      <c r="AD55" s="12"/>
    </row>
    <row r="56" spans="1:31" ht="4.5" customHeight="1" thickTop="1" x14ac:dyDescent="0.35">
      <c r="B56" s="50"/>
      <c r="C56" s="12"/>
      <c r="D56" s="51"/>
      <c r="E56" s="51"/>
      <c r="F56" s="12"/>
      <c r="G56" s="12"/>
      <c r="I56" s="12"/>
      <c r="M56" s="12"/>
      <c r="P56" s="98"/>
      <c r="S56" s="12"/>
      <c r="T56" s="12"/>
      <c r="U56" s="51"/>
      <c r="V56" s="12"/>
      <c r="W56" s="12"/>
      <c r="X56" s="12"/>
      <c r="Y56" s="12"/>
      <c r="Z56" s="12"/>
      <c r="AA56" s="51"/>
      <c r="AB56" s="12"/>
      <c r="AC56" s="12"/>
    </row>
    <row r="57" spans="1:31" ht="15.5" x14ac:dyDescent="0.35">
      <c r="B57" s="50"/>
      <c r="C57" s="12"/>
      <c r="E57" s="33">
        <v>2015</v>
      </c>
      <c r="G57" s="33">
        <v>2016</v>
      </c>
      <c r="I57" s="33">
        <f>+I7</f>
        <v>2017</v>
      </c>
      <c r="K57" s="33">
        <f>+K7</f>
        <v>2018</v>
      </c>
      <c r="M57" s="33" t="str">
        <f>+M7</f>
        <v>2019</v>
      </c>
      <c r="O57" s="94" t="s">
        <v>54</v>
      </c>
      <c r="P57" s="113" t="s">
        <v>55</v>
      </c>
      <c r="Q57" s="94" t="s">
        <v>53</v>
      </c>
      <c r="S57" s="33" t="str">
        <f>+S7</f>
        <v>1Q 2021</v>
      </c>
      <c r="T57" s="33" t="str">
        <f>+T7</f>
        <v>2Q 2021</v>
      </c>
      <c r="U57" s="33" t="str">
        <f>+U7</f>
        <v>3Q 2021</v>
      </c>
      <c r="V57" s="33" t="str">
        <f>+V7</f>
        <v>4Q 2021</v>
      </c>
      <c r="W57" s="33" t="str">
        <f>+W7</f>
        <v>Total</v>
      </c>
      <c r="X57" s="90"/>
      <c r="Y57" s="33" t="str">
        <f>+Y7</f>
        <v>1Q 2022</v>
      </c>
      <c r="Z57" s="33" t="str">
        <f>+Z7</f>
        <v>2Q 2022</v>
      </c>
      <c r="AA57" s="33" t="str">
        <f>+AA7</f>
        <v>3Q 2022</v>
      </c>
      <c r="AB57" s="33" t="str">
        <f>+AB7</f>
        <v>4Q 2022</v>
      </c>
      <c r="AC57" s="33" t="str">
        <f>+AC7</f>
        <v>Total</v>
      </c>
    </row>
    <row r="58" spans="1:31" ht="13" x14ac:dyDescent="0.3">
      <c r="A58" t="s">
        <v>20</v>
      </c>
      <c r="B58" s="1" t="s">
        <v>47</v>
      </c>
      <c r="C58" s="2"/>
      <c r="E58" s="36"/>
      <c r="P58" s="98"/>
      <c r="U58" s="36"/>
      <c r="AA58" s="36"/>
    </row>
    <row r="59" spans="1:31" x14ac:dyDescent="0.25">
      <c r="B59" s="39" t="s">
        <v>82</v>
      </c>
      <c r="C59" s="8"/>
      <c r="E59" s="62">
        <f>E9/(E112)*1000</f>
        <v>36.566767765040524</v>
      </c>
      <c r="G59" s="46">
        <f>G9/(G112)*1000</f>
        <v>31.630502653762097</v>
      </c>
      <c r="I59" s="46">
        <f>I9/(I112)*1000</f>
        <v>41.193242265628321</v>
      </c>
      <c r="K59" s="46">
        <f>K9/(K112)*1000</f>
        <v>53.620968075856069</v>
      </c>
      <c r="M59" s="46">
        <f>M9/(M112)*1000</f>
        <v>48.5925291662207</v>
      </c>
      <c r="O59" s="62">
        <f>O9/(O112)*1000</f>
        <v>31.941031941031941</v>
      </c>
      <c r="P59" s="142">
        <f>P9/(P112)*1000</f>
        <v>37.811104020421183</v>
      </c>
      <c r="Q59" s="62">
        <f>Q9/(Q112)*1000</f>
        <v>32.851316277345198</v>
      </c>
      <c r="R59" s="8"/>
      <c r="S59" s="46">
        <f>S9/(S112)*1000</f>
        <v>48.273550117331546</v>
      </c>
      <c r="T59" s="46">
        <f>T9/(T112)*1000</f>
        <v>52.263284495954515</v>
      </c>
      <c r="U59" s="46">
        <f>U9/(U112)*1000</f>
        <v>58.603757472245945</v>
      </c>
      <c r="V59" s="46">
        <f>ROUND(V9/(V112)*1000,2)</f>
        <v>66.19</v>
      </c>
      <c r="W59" s="46">
        <f>W9/(W112)*1000</f>
        <v>56.320985617248304</v>
      </c>
      <c r="X59" s="46"/>
      <c r="Y59" s="46">
        <f>Y9/(Y112)*1000+0.01</f>
        <v>78.92430007539582</v>
      </c>
      <c r="Z59" s="46">
        <f>Z9/(Z112)*1000</f>
        <v>86.631274131274125</v>
      </c>
      <c r="AA59" s="46">
        <f>AA9/(AA112)*1000</f>
        <v>0</v>
      </c>
      <c r="AB59" s="46">
        <f>ROUND(AB9/(AB112)*1000,2)</f>
        <v>0</v>
      </c>
      <c r="AC59" s="46">
        <f>AC9/(AC112)*1000</f>
        <v>82.85116336328943</v>
      </c>
    </row>
    <row r="60" spans="1:31" x14ac:dyDescent="0.25">
      <c r="B60" s="39" t="s">
        <v>74</v>
      </c>
      <c r="C60" s="8"/>
      <c r="E60" s="67">
        <f>E10/(E112)*1000</f>
        <v>2.2789972412138657</v>
      </c>
      <c r="F60" s="34"/>
      <c r="G60" s="67">
        <f>G10/(G112)*1000</f>
        <v>-4.0196690602560103</v>
      </c>
      <c r="I60" s="67">
        <f>I10/(I112)*1000</f>
        <v>-1.9149751053236308</v>
      </c>
      <c r="K60" s="67">
        <f>K10/(K$112)*1000</f>
        <v>2.0703076477164507E-2</v>
      </c>
      <c r="M60" s="67">
        <f>M10/(M$112)*1000</f>
        <v>-1.2629776303114633</v>
      </c>
      <c r="O60" s="143">
        <f t="shared" ref="O60:Q62" si="40">O10/(O$112)*1000</f>
        <v>2.6617526617526615</v>
      </c>
      <c r="P60" s="99">
        <f t="shared" si="40"/>
        <v>-22.49521378430121</v>
      </c>
      <c r="Q60" s="143">
        <f t="shared" si="40"/>
        <v>-1.2359411692003459</v>
      </c>
      <c r="R60" s="8"/>
      <c r="S60" s="67">
        <f t="shared" ref="S60:U62" si="41">S10/(S$112)*1000</f>
        <v>-23.80154207173986</v>
      </c>
      <c r="T60" s="67">
        <f t="shared" si="41"/>
        <v>-28.974415044828341</v>
      </c>
      <c r="U60" s="67">
        <f t="shared" si="41"/>
        <v>-13.34329632792485</v>
      </c>
      <c r="V60" s="67">
        <f t="shared" ref="V60" si="42">V10/(V$112)*1000</f>
        <v>-8.2031688953815038</v>
      </c>
      <c r="W60" s="67">
        <f>W10/(W$112)*1000</f>
        <v>-18.590325330693286</v>
      </c>
      <c r="X60" s="67"/>
      <c r="Y60" s="67">
        <f t="shared" ref="Y60:AB62" si="43">Y10/(Y$112)*1000</f>
        <v>-70.620758984669521</v>
      </c>
      <c r="Z60" s="67">
        <f t="shared" si="43"/>
        <v>-12.065637065637066</v>
      </c>
      <c r="AA60" s="67">
        <f t="shared" si="43"/>
        <v>0</v>
      </c>
      <c r="AB60" s="67">
        <f t="shared" si="43"/>
        <v>0</v>
      </c>
      <c r="AC60" s="67">
        <f>AC10/(AC$112)*1000</f>
        <v>-40.748491936476668</v>
      </c>
    </row>
    <row r="61" spans="1:31" x14ac:dyDescent="0.25">
      <c r="B61" s="39" t="s">
        <v>75</v>
      </c>
      <c r="C61" s="8"/>
      <c r="E61" s="67">
        <v>0</v>
      </c>
      <c r="F61" s="34"/>
      <c r="G61" s="67">
        <f>G11/(G112)*1000</f>
        <v>0.42928504527005928</v>
      </c>
      <c r="I61" s="67">
        <f>I11/(I112)*1000</f>
        <v>0.68088003744840209</v>
      </c>
      <c r="K61" s="67">
        <f>K11/(K$112)*1000</f>
        <v>6.8320152374642875</v>
      </c>
      <c r="M61" s="67">
        <f>M11/(M$112)*1000</f>
        <v>6.1222305469335332</v>
      </c>
      <c r="O61" s="143">
        <f t="shared" si="40"/>
        <v>3.627003627003627</v>
      </c>
      <c r="P61" s="99">
        <f t="shared" si="40"/>
        <v>6.062539885130823</v>
      </c>
      <c r="Q61" s="143">
        <f t="shared" si="40"/>
        <v>4.004449388209121</v>
      </c>
      <c r="R61" s="8"/>
      <c r="S61" s="67">
        <f t="shared" si="41"/>
        <v>10.95094423957984</v>
      </c>
      <c r="T61" s="67">
        <f t="shared" si="41"/>
        <v>5.2481959326481524</v>
      </c>
      <c r="U61" s="67">
        <f t="shared" si="41"/>
        <v>10.140905209222886</v>
      </c>
      <c r="V61" s="67">
        <f t="shared" ref="V61" si="44">V11/(V$112)*1000</f>
        <v>7.9784245420833795</v>
      </c>
      <c r="W61" s="67">
        <f>W11/(W$112)*1000</f>
        <v>8.5801501526276702</v>
      </c>
      <c r="X61" s="67"/>
      <c r="Y61" s="67">
        <f t="shared" ref="Y61:AA61" si="45">Y11/(Y$112)*1000</f>
        <v>4.0211108318673032</v>
      </c>
      <c r="Z61" s="67">
        <f t="shared" si="45"/>
        <v>9.0492277992277987</v>
      </c>
      <c r="AA61" s="67">
        <f t="shared" si="45"/>
        <v>0</v>
      </c>
      <c r="AB61" s="67">
        <f t="shared" si="43"/>
        <v>0</v>
      </c>
      <c r="AC61" s="67">
        <f>AC11/(AC$112)*1000</f>
        <v>6.58623661208913</v>
      </c>
    </row>
    <row r="62" spans="1:31" x14ac:dyDescent="0.25">
      <c r="B62" s="39" t="s">
        <v>48</v>
      </c>
      <c r="C62" s="8"/>
      <c r="E62" s="67">
        <v>0</v>
      </c>
      <c r="F62" s="34"/>
      <c r="G62" s="67">
        <f>G12/(G112)*1000</f>
        <v>2.0878863565407428</v>
      </c>
      <c r="I62" s="67">
        <f>I12/(I112)*1000</f>
        <v>2.6596876462828205</v>
      </c>
      <c r="K62" s="67">
        <f>K12/(K$112)*1000</f>
        <v>2.2980414889652603</v>
      </c>
      <c r="M62" s="67">
        <f>M12/(M$112)*1000</f>
        <v>2.3975168575404049</v>
      </c>
      <c r="O62" s="143">
        <f t="shared" si="40"/>
        <v>2.5155025155025155</v>
      </c>
      <c r="P62" s="99">
        <f t="shared" si="40"/>
        <v>2.3931078493937461</v>
      </c>
      <c r="Q62" s="143">
        <f t="shared" si="40"/>
        <v>2.496601161784699</v>
      </c>
      <c r="R62" s="91"/>
      <c r="S62" s="67">
        <f t="shared" si="41"/>
        <v>3.6875628561850489</v>
      </c>
      <c r="T62" s="67">
        <f t="shared" si="41"/>
        <v>3.6081347036956046</v>
      </c>
      <c r="U62" s="67">
        <f t="shared" si="41"/>
        <v>6.9385140905209219</v>
      </c>
      <c r="V62" s="67">
        <f t="shared" ref="V62" si="46">V12/(V$112)*1000</f>
        <v>4.60725924261153</v>
      </c>
      <c r="W62" s="67">
        <f>W12/(W$112)*1000</f>
        <v>4.7300827764485875</v>
      </c>
      <c r="X62" s="67"/>
      <c r="Y62" s="67">
        <f t="shared" ref="Y62:AA62" si="47">Y12/(Y$112)*1000</f>
        <v>4.2724302588590097</v>
      </c>
      <c r="Z62" s="67">
        <f t="shared" si="47"/>
        <v>5.9121621621621623</v>
      </c>
      <c r="AA62" s="67">
        <f t="shared" si="47"/>
        <v>0</v>
      </c>
      <c r="AB62" s="67">
        <f t="shared" si="43"/>
        <v>0</v>
      </c>
      <c r="AC62" s="67">
        <f>AC12/(AC$112)*1000</f>
        <v>5.1089498953588572</v>
      </c>
    </row>
    <row r="63" spans="1:31" x14ac:dyDescent="0.25">
      <c r="B63" s="39" t="s">
        <v>21</v>
      </c>
      <c r="C63" s="8"/>
      <c r="E63" s="65">
        <f>E13/(E112)*1000</f>
        <v>2.3304031940232011</v>
      </c>
      <c r="G63" s="48">
        <f>G13/(G112)*1000</f>
        <v>5.853886980955355E-2</v>
      </c>
      <c r="I63" s="48">
        <f>I13/(I112)*1000</f>
        <v>6.3832503510787689E-2</v>
      </c>
      <c r="K63" s="48">
        <f>K13/(K112)*1000</f>
        <v>0.66249844726926421</v>
      </c>
      <c r="M63" s="48">
        <f>M13/(M112)*1000-0.01</f>
        <v>0.52516001284384028</v>
      </c>
      <c r="O63" s="65">
        <f>O13/(O112)*1000-0.01</f>
        <v>0.39950040950040949</v>
      </c>
      <c r="P63" s="101">
        <f>P13/(P112)*1000</f>
        <v>0.47862156987874921</v>
      </c>
      <c r="Q63" s="65">
        <f>Q13/(Q112)*1000</f>
        <v>0.42021999752811767</v>
      </c>
      <c r="R63" s="91"/>
      <c r="S63" s="48">
        <f>S13/(S112)*1000</f>
        <v>1.4526762766789585</v>
      </c>
      <c r="T63" s="48">
        <f>T13/(T112)*1000</f>
        <v>1.0933741526350316</v>
      </c>
      <c r="U63" s="48">
        <f>U13/(U112)*1000</f>
        <v>0.42698548249359519</v>
      </c>
      <c r="V63" s="48">
        <f>V13/(V112)*1000</f>
        <v>0.67423305989437021</v>
      </c>
      <c r="W63" s="48">
        <f>W13/(W112)*1000</f>
        <v>0.90751588152792673</v>
      </c>
      <c r="X63" s="47"/>
      <c r="Y63" s="48">
        <f>Y13/(Y112)*1000</f>
        <v>2.6388539834129179</v>
      </c>
      <c r="Z63" s="48">
        <f>Z13/(Z112)*1000</f>
        <v>0.60328185328185324</v>
      </c>
      <c r="AA63" s="48">
        <f>AA13/(AA112)*1000</f>
        <v>0</v>
      </c>
      <c r="AB63" s="48">
        <f>AB13/(AB112)*1000</f>
        <v>0</v>
      </c>
      <c r="AC63" s="48">
        <f>AC13/(AC112)*1000</f>
        <v>1.6003939431244614</v>
      </c>
    </row>
    <row r="64" spans="1:31" ht="14.5" x14ac:dyDescent="0.25">
      <c r="B64" s="7" t="s">
        <v>68</v>
      </c>
      <c r="C64" s="8"/>
      <c r="E64" s="56">
        <f>SUM(E59:E63)</f>
        <v>41.176168200277587</v>
      </c>
      <c r="G64" s="47">
        <f>SUM(G59:G63)</f>
        <v>30.186543865126442</v>
      </c>
      <c r="H64" s="57"/>
      <c r="I64" s="47">
        <f>SUM(I59:I63)</f>
        <v>42.682667347546705</v>
      </c>
      <c r="K64" s="47">
        <f>SUM(K59:K63)</f>
        <v>63.434226326032046</v>
      </c>
      <c r="M64" s="56">
        <f>SUM(M59:M63)+0.01</f>
        <v>56.384458953227011</v>
      </c>
      <c r="O64" s="56">
        <f>SUM(O59:O63)+0.01</f>
        <v>41.154791154791155</v>
      </c>
      <c r="P64" s="99">
        <f>SUM(P59:P63)-0.01</f>
        <v>24.24015954052329</v>
      </c>
      <c r="Q64" s="56">
        <f>SUM(Q59:Q63)-0.01</f>
        <v>38.526645655666783</v>
      </c>
      <c r="R64" s="91"/>
      <c r="S64" s="47">
        <f>SUM(S59:S63)</f>
        <v>40.56319141803553</v>
      </c>
      <c r="T64" s="47">
        <f>SUM(T59:T63)</f>
        <v>33.23857424010496</v>
      </c>
      <c r="U64" s="56">
        <f>SUM(U59:U63)</f>
        <v>62.766865926558495</v>
      </c>
      <c r="V64" s="56">
        <f>SUM(V59:V63)</f>
        <v>71.246747949207787</v>
      </c>
      <c r="W64" s="56">
        <f>SUM(W59:W63)</f>
        <v>51.948409097159207</v>
      </c>
      <c r="X64" s="56"/>
      <c r="Y64" s="47">
        <f>SUM(Y59:Y63)-0.01</f>
        <v>19.22593616486553</v>
      </c>
      <c r="Z64" s="47">
        <f>SUM(Z59:Z63)-0.01</f>
        <v>90.120308880308869</v>
      </c>
      <c r="AA64" s="56">
        <f>SUM(AA59:AA63)</f>
        <v>0</v>
      </c>
      <c r="AB64" s="56">
        <f>SUM(AB59:AB63)</f>
        <v>0</v>
      </c>
      <c r="AC64" s="56">
        <f>SUM(AC59:AC63)</f>
        <v>55.398251877385206</v>
      </c>
      <c r="AD64" s="56"/>
      <c r="AE64" s="56"/>
    </row>
    <row r="65" spans="2:31" ht="11.5" customHeight="1" x14ac:dyDescent="0.25">
      <c r="B65" s="7"/>
      <c r="C65" s="8"/>
      <c r="E65" s="34"/>
      <c r="G65" s="66"/>
      <c r="I65" s="34"/>
      <c r="K65" s="34"/>
      <c r="M65" s="66"/>
      <c r="O65" s="66"/>
      <c r="P65" s="100"/>
      <c r="Q65" s="66"/>
      <c r="R65" s="91"/>
      <c r="S65" s="34"/>
      <c r="T65" s="34"/>
      <c r="U65" s="66"/>
      <c r="V65" s="66"/>
      <c r="W65" s="66"/>
      <c r="X65" s="66"/>
      <c r="Y65" s="34"/>
      <c r="Z65" s="34"/>
      <c r="AA65" s="66"/>
      <c r="AB65" s="66"/>
      <c r="AC65" s="66"/>
    </row>
    <row r="66" spans="2:31" ht="13" x14ac:dyDescent="0.3">
      <c r="B66" s="1" t="s">
        <v>69</v>
      </c>
      <c r="C66" s="8"/>
      <c r="E66" s="34"/>
      <c r="G66" s="34"/>
      <c r="I66" s="34"/>
      <c r="K66" s="34"/>
      <c r="M66" s="66"/>
      <c r="O66" s="66"/>
      <c r="P66" s="100"/>
      <c r="Q66" s="66"/>
      <c r="R66" s="91"/>
      <c r="S66" s="34"/>
      <c r="T66" s="34"/>
      <c r="U66" s="66"/>
      <c r="V66" s="66"/>
      <c r="W66" s="66"/>
      <c r="X66" s="66"/>
      <c r="Y66" s="34"/>
      <c r="Z66" s="34"/>
      <c r="AA66" s="66"/>
      <c r="AB66" s="66"/>
      <c r="AC66" s="66"/>
    </row>
    <row r="67" spans="2:31" x14ac:dyDescent="0.25">
      <c r="B67" s="39" t="s">
        <v>64</v>
      </c>
      <c r="C67" s="8"/>
      <c r="E67" s="56">
        <f>E17/(E112)*1000</f>
        <v>16.295687040559294</v>
      </c>
      <c r="G67" s="47">
        <f>G17/(G112)*1000</f>
        <v>15.610365282547612</v>
      </c>
      <c r="I67" s="47">
        <f>I17/(I112)*1000</f>
        <v>18.639091025150009</v>
      </c>
      <c r="K67" s="47">
        <f>K17/(K112)*1000</f>
        <v>18.881205747174029</v>
      </c>
      <c r="M67" s="56">
        <f>M17/(M112)*1000</f>
        <v>19.158728459809481</v>
      </c>
      <c r="O67" s="56">
        <f>O17/(O112)*1000</f>
        <v>14.946764946764947</v>
      </c>
      <c r="P67" s="99">
        <f>P17/(P112)*1000</f>
        <v>18.187619655392467</v>
      </c>
      <c r="Q67" s="56">
        <f>Q17/(Q112)*1000</f>
        <v>15.449264615004326</v>
      </c>
      <c r="R67" s="91"/>
      <c r="S67" s="47">
        <f>S17/(S112)*1000</f>
        <v>18.32606995194994</v>
      </c>
      <c r="T67" s="47">
        <f>T17/(T112)*1000</f>
        <v>18.478023179532034</v>
      </c>
      <c r="U67" s="56">
        <f>U17/(U112)*1000</f>
        <v>20.281810418445772</v>
      </c>
      <c r="V67" s="56">
        <f>V17/(V112)*1000</f>
        <v>20.451736150129225</v>
      </c>
      <c r="W67" s="56">
        <f>W17/(W112)*1000</f>
        <v>19.387839287187525</v>
      </c>
      <c r="X67" s="56"/>
      <c r="Y67" s="47">
        <f>Y17/(Y112)*1000</f>
        <v>22.870067856245289</v>
      </c>
      <c r="Z67" s="47">
        <f>Z17/(Z112)*1000</f>
        <v>22.924710424710423</v>
      </c>
      <c r="AA67" s="56">
        <f>AA17/(AA112)*1000</f>
        <v>0</v>
      </c>
      <c r="AB67" s="56">
        <f>AB17/(AB112)*1000</f>
        <v>0</v>
      </c>
      <c r="AC67" s="56">
        <f>AC17/(AC112)*1000</f>
        <v>22.897944109319216</v>
      </c>
    </row>
    <row r="68" spans="2:31" ht="14.5" x14ac:dyDescent="0.25">
      <c r="B68" s="39" t="s">
        <v>49</v>
      </c>
      <c r="C68" s="8"/>
      <c r="E68" s="56">
        <f>E18/(E112)*1000</f>
        <v>5.60324885621755</v>
      </c>
      <c r="G68" s="47">
        <f>G18/(G112)*1000</f>
        <v>4.5855448017483607</v>
      </c>
      <c r="I68" s="47">
        <f>I18/(I112)*1000</f>
        <v>5.2980977913953788</v>
      </c>
      <c r="K68" s="47">
        <f>K18/(K112)*1000</f>
        <v>6.1902198666721873</v>
      </c>
      <c r="M68" s="56">
        <f>M18/(M112)*1000</f>
        <v>6.2078561489885473</v>
      </c>
      <c r="O68" s="56">
        <f>O18/(O112)*1000</f>
        <v>6.2010062010062006</v>
      </c>
      <c r="P68" s="99">
        <f>P18/(P112)*1000</f>
        <v>6.3816209317166566</v>
      </c>
      <c r="Q68" s="56">
        <f>Q18/(Q112)*1000</f>
        <v>6.2291434927697438</v>
      </c>
      <c r="R68" s="91"/>
      <c r="S68" s="47">
        <f>S18/(S112)*1000</f>
        <v>5.3637277908146164</v>
      </c>
      <c r="T68" s="47">
        <f>T18/(T112)*1000</f>
        <v>5.2481959326481524</v>
      </c>
      <c r="U68" s="56">
        <f>U18/(U112)*1000</f>
        <v>5.4440649017933387</v>
      </c>
      <c r="V68" s="56">
        <f>V18/(V112)*1000</f>
        <v>5.95572536240027</v>
      </c>
      <c r="W68" s="56">
        <f>W18/(W112)*1000</f>
        <v>5.500096251684405</v>
      </c>
      <c r="X68" s="56"/>
      <c r="Y68" s="47">
        <f>Y18/(Y112)*1000</f>
        <v>6.0316662478009553</v>
      </c>
      <c r="Z68" s="47">
        <f>Z18/(Z112)*1000</f>
        <v>6.756756756756757</v>
      </c>
      <c r="AA68" s="56">
        <f>AA18/(AA112)*1000</f>
        <v>0</v>
      </c>
      <c r="AB68" s="56">
        <f>AB18/(AB112)*1000</f>
        <v>0</v>
      </c>
      <c r="AC68" s="56">
        <f>AC18/(AC112)*1000</f>
        <v>6.4015757724978455</v>
      </c>
    </row>
    <row r="69" spans="2:31" x14ac:dyDescent="0.25">
      <c r="B69" s="39" t="s">
        <v>22</v>
      </c>
      <c r="C69" s="8"/>
      <c r="E69" s="56">
        <f>E19/(E112)*1000</f>
        <v>17.203858873524222</v>
      </c>
      <c r="G69" s="47">
        <f>G19/(G112)*1000</f>
        <v>10.907742741180144</v>
      </c>
      <c r="I69" s="47">
        <f>I19/(I112)*1000</f>
        <v>11.574960636622835</v>
      </c>
      <c r="K69" s="47">
        <f>K19/(K112)*1000</f>
        <v>10.392944391536583</v>
      </c>
      <c r="M69" s="56">
        <f>M19/(M112)*1000</f>
        <v>10.082414641977952</v>
      </c>
      <c r="O69" s="56">
        <f>O19/(O112)*1000</f>
        <v>9.5940095940095933</v>
      </c>
      <c r="P69" s="99">
        <f>P19/(P112)*1000</f>
        <v>5.4243777919591576</v>
      </c>
      <c r="Q69" s="56">
        <f>Q19/(Q112)*1000</f>
        <v>8.9482140650105055</v>
      </c>
      <c r="R69" s="91"/>
      <c r="S69" s="47">
        <f>S19/(S112)*1000</f>
        <v>5.810705106715834</v>
      </c>
      <c r="T69" s="47">
        <f>T19/(T112)*1000</f>
        <v>5.9042204242291705</v>
      </c>
      <c r="U69" s="56">
        <f>U19/(U112)*1000</f>
        <v>5.7643040136635353</v>
      </c>
      <c r="V69" s="56">
        <f>V19/(V112)*1000</f>
        <v>5.95572536240027</v>
      </c>
      <c r="W69" s="56">
        <f>W19/(W112)*1000-0.01</f>
        <v>5.8476025080438907</v>
      </c>
      <c r="X69" s="56"/>
      <c r="Y69" s="47">
        <f>Y19/(Y112)*1000</f>
        <v>6.1573259612968085</v>
      </c>
      <c r="Z69" s="47">
        <f>Z19/(Z112)*1000</f>
        <v>6.0328185328185331</v>
      </c>
      <c r="AA69" s="56">
        <f>AA19/(AA112)*1000</f>
        <v>0</v>
      </c>
      <c r="AB69" s="56">
        <f>AB19/(AB112)*1000</f>
        <v>0</v>
      </c>
      <c r="AC69" s="56">
        <f>AC19/(AC112)*1000</f>
        <v>6.093807706512373</v>
      </c>
    </row>
    <row r="70" spans="2:31" x14ac:dyDescent="0.25">
      <c r="B70" s="39" t="s">
        <v>23</v>
      </c>
      <c r="C70" s="8"/>
      <c r="E70" s="56">
        <f>E20/(E112)*1000</f>
        <v>83.140561010298313</v>
      </c>
      <c r="G70" s="47">
        <v>0</v>
      </c>
      <c r="H70" s="56"/>
      <c r="I70" s="47">
        <v>0</v>
      </c>
      <c r="K70" s="47">
        <v>0</v>
      </c>
      <c r="M70" s="47">
        <f>M20/(M112)*1000</f>
        <v>0</v>
      </c>
      <c r="O70" s="56">
        <f>O20/(O112)*1000</f>
        <v>50.778050778050776</v>
      </c>
      <c r="P70" s="99">
        <v>0</v>
      </c>
      <c r="Q70" s="56">
        <f>Q20/(Q112)*1000</f>
        <v>42.911877394636015</v>
      </c>
      <c r="R70" s="91"/>
      <c r="S70" s="47">
        <f>S20/(S112)*1000</f>
        <v>0.33523298692591352</v>
      </c>
      <c r="T70" s="47">
        <f>T20/(T112)*1000</f>
        <v>0</v>
      </c>
      <c r="U70" s="47">
        <f>U20/(U112)*1000</f>
        <v>2.6686592655849699</v>
      </c>
      <c r="V70" s="47">
        <f>V20/(V112)*1000</f>
        <v>0</v>
      </c>
      <c r="W70" s="47">
        <f>W20/(W112)*1000</f>
        <v>0.77001347523581654</v>
      </c>
      <c r="X70" s="47"/>
      <c r="Y70" s="47">
        <f>Y20/(Y112)*1000</f>
        <v>0</v>
      </c>
      <c r="Z70" s="47">
        <f>Z20/(Z112)*1000</f>
        <v>0.24131274131274133</v>
      </c>
      <c r="AA70" s="47">
        <f>AA20/(AA112)*1000</f>
        <v>0</v>
      </c>
      <c r="AB70" s="47">
        <f>AB20/(AB112)*1000</f>
        <v>0</v>
      </c>
      <c r="AC70" s="47">
        <f>AC20/(AC112)*1000</f>
        <v>0.12310722639418935</v>
      </c>
    </row>
    <row r="71" spans="2:31" x14ac:dyDescent="0.25">
      <c r="B71" s="39" t="s">
        <v>24</v>
      </c>
      <c r="C71" s="8"/>
      <c r="E71" s="56">
        <f>E21/(E112)*1000</f>
        <v>3.0843571685601194</v>
      </c>
      <c r="G71" s="47">
        <f>G21/(G112)*1000</f>
        <v>2.8098657508585703</v>
      </c>
      <c r="I71" s="47">
        <f>I21/(I112)*1000</f>
        <v>2.8937401591557088</v>
      </c>
      <c r="K71" s="47">
        <f>K21/(K112)*1000</f>
        <v>3.0847583950975115</v>
      </c>
      <c r="M71" s="56">
        <f>M21/(M112)*1000</f>
        <v>3.3608048806593169</v>
      </c>
      <c r="O71" s="56">
        <f>O21/(O112)*1000</f>
        <v>3.9195039195039194</v>
      </c>
      <c r="P71" s="99">
        <f>P21/(P112)*1000</f>
        <v>1.5954052329291641</v>
      </c>
      <c r="Q71" s="56">
        <f>Q21/(Q112)*1000</f>
        <v>3.5595105672969969</v>
      </c>
      <c r="R71" s="91"/>
      <c r="S71" s="47">
        <f>S21/(S112)*1000</f>
        <v>4.4697731590121803</v>
      </c>
      <c r="T71" s="47">
        <f>T21/(T112)*1000</f>
        <v>4.0454843647496173</v>
      </c>
      <c r="U71" s="56">
        <f>U21/(U112)*1000</f>
        <v>3.842869342442357</v>
      </c>
      <c r="V71" s="56">
        <f>V21/(V112)*1000+0.01</f>
        <v>3.6059096527699741</v>
      </c>
      <c r="W71" s="56">
        <f>W21/(W112)*1000+0.01</f>
        <v>3.9975697824711935</v>
      </c>
      <c r="X71" s="56"/>
      <c r="Y71" s="47">
        <f>Y21/(Y112)*1000+0.01</f>
        <v>4.2824302588590095</v>
      </c>
      <c r="Z71" s="47">
        <f>Z21/(Z112)*1000</f>
        <v>5.0675675675675675</v>
      </c>
      <c r="AA71" s="56">
        <f>AA21/(AA112)*1000</f>
        <v>0</v>
      </c>
      <c r="AB71" s="56">
        <f>AB21/(AB112)*1000</f>
        <v>0</v>
      </c>
      <c r="AC71" s="56">
        <f>AC21/(AC112)*1000</f>
        <v>4.6780746029791951</v>
      </c>
    </row>
    <row r="72" spans="2:31" x14ac:dyDescent="0.25">
      <c r="B72" s="39" t="s">
        <v>25</v>
      </c>
      <c r="C72" s="8"/>
      <c r="E72" s="56">
        <f>E22/(E112)*1000</f>
        <v>0.6168714337120238</v>
      </c>
      <c r="G72" s="47">
        <f>G22/G112*1000</f>
        <v>0.44879800187324381</v>
      </c>
      <c r="I72" s="47">
        <f>I22/(I112)*1000</f>
        <v>0.46810502574577639</v>
      </c>
      <c r="K72" s="47">
        <f>K22/(K$112)*1000</f>
        <v>0.70390460022359325</v>
      </c>
      <c r="M72" s="56">
        <f>M22/(M$112)*1000</f>
        <v>0.62078561489885475</v>
      </c>
      <c r="O72" s="56">
        <f t="shared" ref="O72:Q76" si="48">O22/(O$112)*1000</f>
        <v>0.29250029250029247</v>
      </c>
      <c r="P72" s="99">
        <f t="shared" si="48"/>
        <v>0.1595405232929164</v>
      </c>
      <c r="Q72" s="56">
        <f t="shared" si="48"/>
        <v>0.2719070572240761</v>
      </c>
      <c r="R72" s="91"/>
      <c r="S72" s="47">
        <f t="shared" ref="S72:U76" si="49">S22/(S$112)*1000</f>
        <v>0.22348865795060902</v>
      </c>
      <c r="T72" s="47">
        <f t="shared" si="49"/>
        <v>0.21867483052700634</v>
      </c>
      <c r="U72" s="56">
        <f t="shared" si="49"/>
        <v>0.2134927412467976</v>
      </c>
      <c r="V72" s="56">
        <f t="shared" ref="V72" si="50">V22/(V$112)*1000</f>
        <v>0.1123721766490617</v>
      </c>
      <c r="W72" s="56">
        <f>W22/(W$112)*1000</f>
        <v>0.19250336880895413</v>
      </c>
      <c r="X72" s="56"/>
      <c r="Y72" s="47">
        <f t="shared" ref="Y72:AB76" si="51">Y22/(Y$112)*1000</f>
        <v>0.12565971349585323</v>
      </c>
      <c r="Z72" s="47">
        <f t="shared" si="51"/>
        <v>0.12065637065637067</v>
      </c>
      <c r="AA72" s="56">
        <f t="shared" si="51"/>
        <v>0</v>
      </c>
      <c r="AB72" s="56">
        <f t="shared" si="51"/>
        <v>0</v>
      </c>
      <c r="AC72" s="56">
        <f>AC22/(AC$112)*1000</f>
        <v>0.12310722639418935</v>
      </c>
    </row>
    <row r="73" spans="2:31" ht="14.5" x14ac:dyDescent="0.25">
      <c r="B73" s="39" t="s">
        <v>76</v>
      </c>
      <c r="C73" s="8"/>
      <c r="E73" s="56">
        <v>0</v>
      </c>
      <c r="G73" s="47">
        <f>G23/G112*1000</f>
        <v>0</v>
      </c>
      <c r="I73" s="47">
        <f>I23/(I112)*1000</f>
        <v>0</v>
      </c>
      <c r="K73" s="47">
        <f>K23/(K$112)*1000</f>
        <v>5.175769119291127</v>
      </c>
      <c r="M73" s="56">
        <f>M23/(M$112)*1000</f>
        <v>4.3026865032644759</v>
      </c>
      <c r="O73" s="56">
        <f t="shared" si="48"/>
        <v>2.2815022815022816</v>
      </c>
      <c r="P73" s="99">
        <f t="shared" si="48"/>
        <v>3.8289725590299937</v>
      </c>
      <c r="Q73" s="56">
        <f t="shared" si="48"/>
        <v>2.5213199851687058</v>
      </c>
      <c r="R73" s="91"/>
      <c r="S73" s="47">
        <f t="shared" si="49"/>
        <v>6.8164040674935746</v>
      </c>
      <c r="T73" s="47">
        <f t="shared" si="49"/>
        <v>3.2801224579050952</v>
      </c>
      <c r="U73" s="56">
        <f t="shared" si="49"/>
        <v>5.6575576430401364</v>
      </c>
      <c r="V73" s="56">
        <f t="shared" ref="V73" si="52">V23/(V$112)*1000</f>
        <v>5.8433531857512078</v>
      </c>
      <c r="W73" s="56">
        <f>W23/(W$112)*1000</f>
        <v>5.3900943266507166</v>
      </c>
      <c r="X73" s="56"/>
      <c r="Y73" s="47">
        <f t="shared" ref="Y73:AA73" si="53">Y23/(Y$112)*1000</f>
        <v>2.6388539834129179</v>
      </c>
      <c r="Z73" s="47">
        <f t="shared" si="53"/>
        <v>8.0839768339768341</v>
      </c>
      <c r="AA73" s="56">
        <f t="shared" si="53"/>
        <v>0</v>
      </c>
      <c r="AB73" s="56">
        <f t="shared" si="51"/>
        <v>0</v>
      </c>
      <c r="AC73" s="56">
        <f>AC23/(AC$112)*1000</f>
        <v>5.4167179613443315</v>
      </c>
    </row>
    <row r="74" spans="2:31" x14ac:dyDescent="0.25">
      <c r="B74" s="39" t="s">
        <v>70</v>
      </c>
      <c r="C74" s="8"/>
      <c r="E74" s="56">
        <v>0</v>
      </c>
      <c r="G74" s="47">
        <f>G24/G112*1000</f>
        <v>1.2098033093974399</v>
      </c>
      <c r="I74" s="47">
        <f>I24/(I112)*1000</f>
        <v>1.3830375760670666</v>
      </c>
      <c r="K74" s="47">
        <f>K24/(K$112)*1000</f>
        <v>1.2628876651070349</v>
      </c>
      <c r="M74" s="56">
        <f>M24/(M$112)*1000</f>
        <v>1.4556352349352455</v>
      </c>
      <c r="O74" s="56">
        <f t="shared" si="48"/>
        <v>1.5502515502515501</v>
      </c>
      <c r="P74" s="99">
        <f t="shared" si="48"/>
        <v>1.5954052329291641</v>
      </c>
      <c r="Q74" s="56">
        <f t="shared" si="48"/>
        <v>1.5572858731924359</v>
      </c>
      <c r="R74" s="91"/>
      <c r="S74" s="47">
        <f t="shared" si="49"/>
        <v>2.6818638954073082</v>
      </c>
      <c r="T74" s="47">
        <f t="shared" si="49"/>
        <v>1.8587360594795539</v>
      </c>
      <c r="U74" s="56">
        <f t="shared" si="49"/>
        <v>3.0956447480785654</v>
      </c>
      <c r="V74" s="56">
        <f t="shared" ref="V74" si="54">V24/(V$112)*1000</f>
        <v>2.9216765928756039</v>
      </c>
      <c r="W74" s="56">
        <f>W24/(W$112)*1000</f>
        <v>2.6400462008085142</v>
      </c>
      <c r="X74" s="56"/>
      <c r="Y74" s="47">
        <f t="shared" ref="Y74:AA74" si="55">Y24/(Y$112)*1000</f>
        <v>3.0158331239004776</v>
      </c>
      <c r="Z74" s="47">
        <f t="shared" si="55"/>
        <v>3.9816602316602316</v>
      </c>
      <c r="AA74" s="56">
        <f t="shared" si="55"/>
        <v>0</v>
      </c>
      <c r="AB74" s="56">
        <f t="shared" si="51"/>
        <v>0</v>
      </c>
      <c r="AC74" s="56">
        <f>AC24/(AC$112)*1000</f>
        <v>3.5085559522343965</v>
      </c>
    </row>
    <row r="75" spans="2:31" ht="14.5" x14ac:dyDescent="0.25">
      <c r="B75" s="39" t="s">
        <v>52</v>
      </c>
      <c r="C75" s="8"/>
      <c r="E75" s="56">
        <v>0</v>
      </c>
      <c r="G75" s="47">
        <f>G25/G112*1000</f>
        <v>0</v>
      </c>
      <c r="I75" s="47">
        <f>I25/(I112)*1000</f>
        <v>0</v>
      </c>
      <c r="K75" s="47">
        <f>K25/(K$112)*1000</f>
        <v>0.74531075317792228</v>
      </c>
      <c r="M75" s="56">
        <f>M25/(M$112)*1000</f>
        <v>0.85625602055014449</v>
      </c>
      <c r="O75" s="56">
        <f t="shared" si="48"/>
        <v>1.0237510237510237</v>
      </c>
      <c r="P75" s="99">
        <f t="shared" si="48"/>
        <v>1.2763241863433312</v>
      </c>
      <c r="Q75" s="56">
        <f t="shared" si="48"/>
        <v>1.0629094055122976</v>
      </c>
      <c r="R75" s="91"/>
      <c r="S75" s="47">
        <f t="shared" si="49"/>
        <v>1.3409319477036541</v>
      </c>
      <c r="T75" s="47">
        <f t="shared" si="49"/>
        <v>1.5307238136890444</v>
      </c>
      <c r="U75" s="56">
        <f t="shared" si="49"/>
        <v>1.1742100768573867</v>
      </c>
      <c r="V75" s="56">
        <f t="shared" ref="V75" si="56">V25/(V$112)*1000</f>
        <v>1.5732104730868637</v>
      </c>
      <c r="W75" s="56">
        <f>W25/(W$112)*1000</f>
        <v>1.4025245441795231</v>
      </c>
      <c r="X75" s="56"/>
      <c r="Y75" s="47">
        <f t="shared" ref="Y75:AA75" si="57">Y25/(Y$112)*1000</f>
        <v>1.5079165619502388</v>
      </c>
      <c r="Z75" s="47">
        <f t="shared" si="57"/>
        <v>1.4478764478764479</v>
      </c>
      <c r="AA75" s="56">
        <f t="shared" si="57"/>
        <v>0</v>
      </c>
      <c r="AB75" s="56">
        <f t="shared" si="51"/>
        <v>0</v>
      </c>
      <c r="AC75" s="56">
        <f>AC25/(AC$112)*1000</f>
        <v>1.4772867167302721</v>
      </c>
    </row>
    <row r="76" spans="2:31" x14ac:dyDescent="0.25">
      <c r="B76" s="39" t="s">
        <v>71</v>
      </c>
      <c r="C76" s="8"/>
      <c r="E76" s="47">
        <f>E26/(E$112)*1000</f>
        <v>0.34270635206223543</v>
      </c>
      <c r="G76" s="47">
        <f>G26/(G$112)*1000</f>
        <v>0.42928504527005928</v>
      </c>
      <c r="I76" s="47">
        <f>I26/(I$112)*1000</f>
        <v>0.53193752925656412</v>
      </c>
      <c r="K76" s="47">
        <f>K26/(K$112)*1000</f>
        <v>0.55898306488344174</v>
      </c>
      <c r="M76" s="47">
        <f>M26/(M$112)*1000</f>
        <v>0.77063041849513003</v>
      </c>
      <c r="O76" s="56">
        <f t="shared" si="48"/>
        <v>0.96525096525096532</v>
      </c>
      <c r="P76" s="99">
        <f t="shared" si="48"/>
        <v>1.2763241863433312</v>
      </c>
      <c r="Q76" s="56">
        <f t="shared" si="48"/>
        <v>1.0134717587442836</v>
      </c>
      <c r="R76" s="91"/>
      <c r="S76" s="47">
        <f t="shared" si="49"/>
        <v>1.4526762766789585</v>
      </c>
      <c r="T76" s="47">
        <f t="shared" si="49"/>
        <v>1.4213863984255413</v>
      </c>
      <c r="U76" s="56">
        <f t="shared" si="49"/>
        <v>1.3877028181041844</v>
      </c>
      <c r="V76" s="56">
        <f t="shared" ref="V76" si="58">V26/(V$112)*1000</f>
        <v>1.2360939431396785</v>
      </c>
      <c r="W76" s="56">
        <f>W26/(W$112)*1000</f>
        <v>1.3750240629211012</v>
      </c>
      <c r="X76" s="56"/>
      <c r="Y76" s="47">
        <f t="shared" ref="Y76:AA76" si="59">Y26/(Y$112)*1000</f>
        <v>1.3822568484543853</v>
      </c>
      <c r="Z76" s="47">
        <f t="shared" si="59"/>
        <v>1.3272200772200771</v>
      </c>
      <c r="AA76" s="56">
        <f t="shared" si="59"/>
        <v>0</v>
      </c>
      <c r="AB76" s="56">
        <f t="shared" si="51"/>
        <v>0</v>
      </c>
      <c r="AC76" s="56">
        <f>AC26/(AC$112)*1000</f>
        <v>1.3541794903360829</v>
      </c>
    </row>
    <row r="77" spans="2:31" ht="12.5" customHeight="1" x14ac:dyDescent="0.25">
      <c r="B77" s="39" t="s">
        <v>72</v>
      </c>
      <c r="C77" s="8"/>
      <c r="E77" s="65">
        <f>E27/(E112)*1000</f>
        <v>2.5188916876574305</v>
      </c>
      <c r="G77" s="48">
        <f>G27/(G112)*1000</f>
        <v>-9.7564783015922571E-2</v>
      </c>
      <c r="I77" s="48">
        <f>I27/(I112)*1000</f>
        <v>0.34044001872420104</v>
      </c>
      <c r="K77" s="48">
        <f>K27/(K112)*1000-0.01</f>
        <v>0.5075769119291127</v>
      </c>
      <c r="M77" s="65">
        <f>M27/(M112)*1000</f>
        <v>0.38531520924756502</v>
      </c>
      <c r="O77" s="65">
        <f>O27/(O112)*1000</f>
        <v>1.638001638001638</v>
      </c>
      <c r="P77" s="101">
        <f>P27/(P112)*1000-0.01</f>
        <v>1.4258647096362476</v>
      </c>
      <c r="Q77" s="65">
        <f>Q27/(Q112)*1000</f>
        <v>1.6067235199604499</v>
      </c>
      <c r="R77" s="91"/>
      <c r="S77" s="48">
        <f>S27/(S112)*1000</f>
        <v>1.8996535925801765</v>
      </c>
      <c r="T77" s="48">
        <f>T27/(T112)*1000</f>
        <v>1.0933741526350316</v>
      </c>
      <c r="U77" s="65">
        <f>U27/(U112)*1000+0.01</f>
        <v>0.4369854824935952</v>
      </c>
      <c r="V77" s="65">
        <f>V27/(V112)*1000</f>
        <v>-0.22474435329812339</v>
      </c>
      <c r="W77" s="65">
        <f>W27/(W112)*1000</f>
        <v>0.79751395649423862</v>
      </c>
      <c r="X77" s="56"/>
      <c r="Y77" s="48">
        <f>Y27/(Y112)*1000</f>
        <v>1.7592359889419453</v>
      </c>
      <c r="Z77" s="48">
        <f>Z27/(Z112)*1000-0.01</f>
        <v>1.0759073359073359</v>
      </c>
      <c r="AA77" s="65">
        <f>AA27/(AA112)*1000</f>
        <v>0</v>
      </c>
      <c r="AB77" s="65">
        <f>AB27/(AB112)*1000</f>
        <v>0</v>
      </c>
      <c r="AC77" s="65">
        <f>AC27/(AC112)*1000</f>
        <v>1.4157331035331775</v>
      </c>
    </row>
    <row r="78" spans="2:31" x14ac:dyDescent="0.25">
      <c r="B78" s="7" t="s">
        <v>73</v>
      </c>
      <c r="C78" s="8"/>
      <c r="E78" s="120">
        <f>SUM(E67:E77)-0.01</f>
        <v>128.79618242259122</v>
      </c>
      <c r="G78" s="119">
        <f>SUM(G67:G77)+0.01</f>
        <v>35.913840149859496</v>
      </c>
      <c r="I78" s="119">
        <f>SUM(I67:I77)</f>
        <v>41.129409762117547</v>
      </c>
      <c r="K78" s="119">
        <f>SUM(K67:K77)</f>
        <v>47.503560515092545</v>
      </c>
      <c r="M78" s="120">
        <f>SUM(M67:M77)+0.01</f>
        <v>47.211113132826711</v>
      </c>
      <c r="O78" s="121">
        <f>SUM(O67:O77)-0.01</f>
        <v>93.180593190593171</v>
      </c>
      <c r="P78" s="122">
        <f>SUM(P67:P77)+0.01</f>
        <v>41.161455009572435</v>
      </c>
      <c r="Q78" s="123">
        <f>SUM(Q67:Q77)</f>
        <v>85.131627734519839</v>
      </c>
      <c r="R78" s="91"/>
      <c r="S78" s="119">
        <f>SUM(S67:S77)</f>
        <v>48.72052743323276</v>
      </c>
      <c r="T78" s="119">
        <f>SUM(T67:T77)</f>
        <v>43.078941613820241</v>
      </c>
      <c r="U78" s="120">
        <f>SUM(U67:U77)</f>
        <v>49.967301451750629</v>
      </c>
      <c r="V78" s="120">
        <f>SUM(V67:V77)+0.01</f>
        <v>47.441058545904035</v>
      </c>
      <c r="W78" s="120">
        <f>SUM(W67:W77)+0.01</f>
        <v>47.310827764485872</v>
      </c>
      <c r="X78" s="56"/>
      <c r="Y78" s="119">
        <f>SUM(Y67:Y77)+0.01</f>
        <v>49.78124654435787</v>
      </c>
      <c r="Z78" s="119">
        <f>SUM(Z67:Z77)</f>
        <v>57.060463320463313</v>
      </c>
      <c r="AA78" s="120">
        <f>SUM(AA67:AA77)</f>
        <v>0</v>
      </c>
      <c r="AB78" s="120">
        <f>SUM(AB67:AB77)</f>
        <v>0</v>
      </c>
      <c r="AC78" s="120">
        <f>SUM(AC67:AC77)</f>
        <v>53.490089868275263</v>
      </c>
      <c r="AD78" s="56"/>
      <c r="AE78" s="56"/>
    </row>
    <row r="79" spans="2:31" ht="12.5" customHeight="1" x14ac:dyDescent="0.25">
      <c r="B79" s="39" t="s">
        <v>77</v>
      </c>
      <c r="C79" s="8"/>
      <c r="E79" s="48">
        <f>E29/(E$112)*1000</f>
        <v>0</v>
      </c>
      <c r="G79" s="48">
        <f>G29/(G$112)*1000</f>
        <v>0.5853886980955354</v>
      </c>
      <c r="I79" s="48">
        <f>I29/(I$112)*1000</f>
        <v>0.44682752457551383</v>
      </c>
      <c r="K79" s="48">
        <f>K29/(K$112)*1000</f>
        <v>0.10351538238582254</v>
      </c>
      <c r="M79" s="48">
        <f>M29/(M$112)*1000</f>
        <v>0</v>
      </c>
      <c r="O79" s="117">
        <f>O29/(O$112)*1000</f>
        <v>0</v>
      </c>
      <c r="P79" s="101">
        <f>P29/(P$112)*1000</f>
        <v>0</v>
      </c>
      <c r="Q79" s="118">
        <f>Q29/(Q$112)*1000</f>
        <v>0</v>
      </c>
      <c r="R79" s="91"/>
      <c r="S79" s="48">
        <f>S29/(S$112)*1000</f>
        <v>0.22348865795060902</v>
      </c>
      <c r="T79" s="48">
        <f>T29/(T$112)*1000</f>
        <v>0</v>
      </c>
      <c r="U79" s="65">
        <f>U29/(U$112)*1000</f>
        <v>0.2134927412467976</v>
      </c>
      <c r="V79" s="65">
        <f>V29/(V$112)*1000+0.01</f>
        <v>13.494661197887403</v>
      </c>
      <c r="W79" s="65">
        <f>W29/(W$112)*1000+0.01</f>
        <v>3.4200596760443305</v>
      </c>
      <c r="X79" s="56"/>
      <c r="Y79" s="48">
        <f>Y29/(Y$112)*1000</f>
        <v>6.7856245287760748</v>
      </c>
      <c r="Z79" s="48">
        <f>Z29/(Z$112)*1000</f>
        <v>0.48262548262548266</v>
      </c>
      <c r="AA79" s="65">
        <f>AA29/(AA$112)*1000</f>
        <v>0</v>
      </c>
      <c r="AB79" s="65">
        <f>AB29/(AB$112)*1000</f>
        <v>0</v>
      </c>
      <c r="AC79" s="65">
        <f>AC29/(AC$112)*1000</f>
        <v>3.5701095654314909</v>
      </c>
    </row>
    <row r="80" spans="2:31" ht="13" x14ac:dyDescent="0.3">
      <c r="B80" s="1" t="s">
        <v>29</v>
      </c>
      <c r="C80" s="8"/>
      <c r="E80" s="47">
        <f>+E64-E78+E79</f>
        <v>-87.620014222313628</v>
      </c>
      <c r="G80" s="47">
        <f>+G64-G78+G79+0.01</f>
        <v>-5.131907586637519</v>
      </c>
      <c r="I80" s="47">
        <f>+I64-I78+I79</f>
        <v>2.0000851100046719</v>
      </c>
      <c r="K80" s="47">
        <f>+K64-K78+K79</f>
        <v>16.034181193325324</v>
      </c>
      <c r="M80" s="47">
        <f>+M64-M78+M79</f>
        <v>9.1733458204003</v>
      </c>
      <c r="O80" s="56">
        <f>+O64-O78+O79</f>
        <v>-52.025802035802016</v>
      </c>
      <c r="P80" s="99">
        <f>+P64-P78+P79</f>
        <v>-16.921295469049145</v>
      </c>
      <c r="Q80" s="56">
        <f>+Q64-Q78+Q79</f>
        <v>-46.604982078853055</v>
      </c>
      <c r="R80" s="91"/>
      <c r="S80" s="47">
        <f>+S64-S78+S79</f>
        <v>-7.9338473572466217</v>
      </c>
      <c r="T80" s="47">
        <f>+T64-T78+T79</f>
        <v>-9.8403673737152815</v>
      </c>
      <c r="U80" s="47">
        <f>+U64-U78+U79+0.01</f>
        <v>13.023057216054664</v>
      </c>
      <c r="V80" s="47">
        <f>+V64-V78+V79</f>
        <v>37.300350601191155</v>
      </c>
      <c r="W80" s="47">
        <f>+W64-W78+W79</f>
        <v>8.0576410087176651</v>
      </c>
      <c r="X80" s="47"/>
      <c r="Y80" s="47">
        <f>+Y64-Y78+Y79+0.01</f>
        <v>-23.759685850716263</v>
      </c>
      <c r="Z80" s="47">
        <f>+Z64-Z78+Z79</f>
        <v>33.542471042471036</v>
      </c>
      <c r="AA80" s="47">
        <f>+AA64-AA78+AA79</f>
        <v>0</v>
      </c>
      <c r="AB80" s="47">
        <f>+AB64-AB78+AB79</f>
        <v>0</v>
      </c>
      <c r="AC80" s="47">
        <f>+AC64-AC78+AC79</f>
        <v>5.4782715745414343</v>
      </c>
      <c r="AD80" s="34"/>
      <c r="AE80" s="34"/>
    </row>
    <row r="81" spans="2:31 16272:16272" ht="4.9000000000000004" customHeight="1" x14ac:dyDescent="0.3">
      <c r="B81" s="1"/>
      <c r="C81" s="8"/>
      <c r="E81" s="47"/>
      <c r="G81" s="47"/>
      <c r="I81" s="47"/>
      <c r="K81" s="47"/>
      <c r="M81" s="56"/>
      <c r="O81" s="56"/>
      <c r="P81" s="99"/>
      <c r="Q81" s="56"/>
      <c r="R81" s="91"/>
      <c r="S81" s="47"/>
      <c r="T81" s="47"/>
      <c r="U81" s="56"/>
      <c r="V81" s="56"/>
      <c r="W81" s="56"/>
      <c r="X81" s="56"/>
      <c r="Y81" s="47"/>
      <c r="Z81" s="47"/>
      <c r="AA81" s="56"/>
      <c r="AB81" s="56"/>
      <c r="AC81" s="56"/>
    </row>
    <row r="82" spans="2:31 16272:16272" ht="13.9" customHeight="1" x14ac:dyDescent="0.3">
      <c r="B82" s="1" t="s">
        <v>81</v>
      </c>
      <c r="C82" s="8"/>
      <c r="E82" s="47"/>
      <c r="G82" s="47"/>
      <c r="I82" s="47"/>
      <c r="K82" s="47"/>
      <c r="M82" s="56"/>
      <c r="O82" s="56"/>
      <c r="P82" s="99"/>
      <c r="Q82" s="56"/>
      <c r="R82" s="91"/>
      <c r="S82" s="47"/>
      <c r="T82" s="47"/>
      <c r="U82" s="56"/>
      <c r="V82" s="56"/>
      <c r="W82" s="56"/>
      <c r="X82" s="56"/>
      <c r="Y82" s="47"/>
      <c r="Z82" s="47"/>
      <c r="AA82" s="56"/>
      <c r="AB82" s="56"/>
      <c r="AC82" s="56"/>
    </row>
    <row r="83" spans="2:31 16272:16272" ht="13.9" customHeight="1" x14ac:dyDescent="0.25">
      <c r="B83" s="68" t="s">
        <v>78</v>
      </c>
      <c r="C83" s="8"/>
      <c r="E83" s="47">
        <f>ROUND(E33/(E112)*1000,2)</f>
        <v>0</v>
      </c>
      <c r="F83" s="22"/>
      <c r="G83" s="47">
        <f>ROUND(G33/(G112)*1000,2)</f>
        <v>0</v>
      </c>
      <c r="I83" s="47">
        <f>ROUND(I33/(I112)*1000,2)</f>
        <v>0</v>
      </c>
      <c r="K83" s="47">
        <f>K33/(K112)*1000</f>
        <v>0</v>
      </c>
      <c r="M83" s="56">
        <f>M33/(M112)*1000</f>
        <v>0</v>
      </c>
      <c r="O83" s="56">
        <f>O33/(O112)*1000</f>
        <v>118.75511875511876</v>
      </c>
      <c r="P83" s="99">
        <f>P33/(P112)*1000</f>
        <v>-0.47862156987874921</v>
      </c>
      <c r="Q83" s="56">
        <f>Q33/(Q112)*1000</f>
        <v>100.28426646891609</v>
      </c>
      <c r="R83" s="91"/>
      <c r="S83" s="47">
        <f>S33/(S112)*1000</f>
        <v>-0.22348865795060902</v>
      </c>
      <c r="T83" s="47">
        <f>T33/(T112)*1000</f>
        <v>-0.21867483052700634</v>
      </c>
      <c r="U83" s="56">
        <f>U33/(U112)*1000</f>
        <v>-0.1067463706233988</v>
      </c>
      <c r="V83" s="56">
        <f>V33/(V112)*1000</f>
        <v>-0.1123721766490617</v>
      </c>
      <c r="W83" s="56">
        <f>W33/(W112)*1000</f>
        <v>-0.16500288755053213</v>
      </c>
      <c r="X83" s="56"/>
      <c r="Y83" s="47">
        <f>Y33/(Y112)*1000</f>
        <v>0</v>
      </c>
      <c r="Z83" s="47">
        <f>Z33/(Z112)*1000</f>
        <v>0</v>
      </c>
      <c r="AA83" s="56">
        <f>AA33/(AA112)*1000</f>
        <v>0</v>
      </c>
      <c r="AB83" s="56">
        <f>AB33/(AB112)*1000</f>
        <v>0</v>
      </c>
      <c r="AC83" s="56">
        <f>AC33/(AC112)*1000</f>
        <v>0</v>
      </c>
    </row>
    <row r="84" spans="2:31 16272:16272" ht="13.9" customHeight="1" x14ac:dyDescent="0.25">
      <c r="B84" s="68" t="s">
        <v>19</v>
      </c>
      <c r="C84" s="8"/>
      <c r="E84" s="47">
        <f>ROUND(E34/(E112)*1000,2)</f>
        <v>-5.59</v>
      </c>
      <c r="F84" s="22"/>
      <c r="G84" s="47">
        <f>ROUND(G34/(G112)*1000,2)</f>
        <v>-6.4</v>
      </c>
      <c r="I84" s="47">
        <f>ROUND(I34/(I112)*1000,2)</f>
        <v>-7.3</v>
      </c>
      <c r="K84" s="47">
        <f>K34/(K112)*1000</f>
        <v>-7.8464659848453477</v>
      </c>
      <c r="M84" s="56">
        <f>M34/(M112)*1000</f>
        <v>-8.1986513967676338</v>
      </c>
      <c r="O84" s="56">
        <f>O34/(O112)*1000</f>
        <v>-6.0255060255060249</v>
      </c>
      <c r="P84" s="99">
        <f>P34/(P112)*1000</f>
        <v>-1.7549457562220803</v>
      </c>
      <c r="Q84" s="56">
        <f>Q34/(Q112)*1000</f>
        <v>-5.3639846743295019</v>
      </c>
      <c r="R84" s="91"/>
      <c r="S84" s="47">
        <f>S34/(S112)*1000</f>
        <v>-1.4526762766789585</v>
      </c>
      <c r="T84" s="47">
        <f>T34/(T112)*1000</f>
        <v>-1.4213863984255413</v>
      </c>
      <c r="U84" s="56">
        <f>U34/(U112)*1000</f>
        <v>-1.4944491887275833</v>
      </c>
      <c r="V84" s="56">
        <f>V34/(V112)*1000</f>
        <v>-1.5732104730868637</v>
      </c>
      <c r="W84" s="56">
        <f>W34/(W112)*1000+0.01</f>
        <v>-1.4750259879547891</v>
      </c>
      <c r="X84" s="56"/>
      <c r="Y84" s="47">
        <f>Y34/(Y112)*1000</f>
        <v>-1.6335762754460921</v>
      </c>
      <c r="Z84" s="47">
        <f>Z34/(Z112)*1000</f>
        <v>-1.5685328185328185</v>
      </c>
      <c r="AA84" s="56">
        <f>AA34/(AA112)*1000</f>
        <v>0</v>
      </c>
      <c r="AB84" s="56">
        <f>AB34/(AB112)*1000</f>
        <v>0</v>
      </c>
      <c r="AC84" s="56">
        <f>AC34/(AC112)*1000</f>
        <v>-1.6003939431244614</v>
      </c>
    </row>
    <row r="85" spans="2:31 16272:16272" ht="13.9" customHeight="1" x14ac:dyDescent="0.25">
      <c r="B85" s="68" t="s">
        <v>65</v>
      </c>
      <c r="C85" s="8"/>
      <c r="E85" s="47">
        <f>+E35/E112*1000</f>
        <v>0.34270635206223543</v>
      </c>
      <c r="F85" s="22"/>
      <c r="G85" s="47">
        <f>+G35/G112*1000</f>
        <v>15.707930065563536</v>
      </c>
      <c r="I85" s="47">
        <f>+I35/I112*1000</f>
        <v>8.5110004681050261E-2</v>
      </c>
      <c r="K85" s="47">
        <f>+K35/K112*1000</f>
        <v>1.1800753591983768</v>
      </c>
      <c r="M85" s="56">
        <f>+M35/M112*1000</f>
        <v>2.6972064647329548</v>
      </c>
      <c r="O85" s="56">
        <f>+O35/O112*1000</f>
        <v>0.14625014625014623</v>
      </c>
      <c r="P85" s="99">
        <f>+P35/P112*1000</f>
        <v>0</v>
      </c>
      <c r="Q85" s="56">
        <f>+Q35/Q112*1000</f>
        <v>0.12359411692003462</v>
      </c>
      <c r="R85" s="91"/>
      <c r="S85" s="47">
        <f>+S35/S112*1000</f>
        <v>-0.22348865795060902</v>
      </c>
      <c r="T85" s="47">
        <f>+T35/T112*1000</f>
        <v>0</v>
      </c>
      <c r="U85" s="56">
        <f>+U35/U112*1000</f>
        <v>0</v>
      </c>
      <c r="V85" s="56">
        <f>+V35/V112*1000</f>
        <v>0</v>
      </c>
      <c r="W85" s="56">
        <f>+W35/W112*1000</f>
        <v>-5.5000962516844047E-2</v>
      </c>
      <c r="X85" s="56"/>
      <c r="Y85" s="47">
        <f>+Y35/Y112*1000</f>
        <v>0</v>
      </c>
      <c r="Z85" s="47">
        <f>+Z35/Z112*1000</f>
        <v>0</v>
      </c>
      <c r="AA85" s="56">
        <f>+AA35/AA112*1000</f>
        <v>0</v>
      </c>
      <c r="AB85" s="56">
        <f>+AB35/AB112*1000</f>
        <v>0</v>
      </c>
      <c r="AC85" s="56">
        <f>+AC35/AC112*1000</f>
        <v>0</v>
      </c>
    </row>
    <row r="86" spans="2:31 16272:16272" ht="13.9" hidden="1" customHeight="1" x14ac:dyDescent="0.25">
      <c r="B86" s="68"/>
      <c r="C86" s="8"/>
      <c r="E86" s="47">
        <f>+E36/E112*1000</f>
        <v>0</v>
      </c>
      <c r="F86" s="22"/>
      <c r="G86" s="47">
        <f>+G36/G112*1000</f>
        <v>0</v>
      </c>
      <c r="I86" s="47">
        <f>+I36/I112*1000</f>
        <v>0</v>
      </c>
      <c r="K86" s="47">
        <f>+K36/K112*1000</f>
        <v>0</v>
      </c>
      <c r="M86" s="56">
        <f>+M36/M112*1000</f>
        <v>0</v>
      </c>
      <c r="O86" s="56">
        <f>+O36/O112*1000</f>
        <v>0</v>
      </c>
      <c r="P86" s="99">
        <f>+P36/P112*1000</f>
        <v>0</v>
      </c>
      <c r="Q86" s="56">
        <f>+Q36/Q112*1000</f>
        <v>0</v>
      </c>
      <c r="R86" s="91"/>
      <c r="S86" s="47">
        <f>+S36/S112*1000</f>
        <v>0</v>
      </c>
      <c r="T86" s="47">
        <f>+T36/T112*1000</f>
        <v>0</v>
      </c>
      <c r="U86" s="56">
        <f>+U36/U112*1000</f>
        <v>0</v>
      </c>
      <c r="V86" s="56">
        <f>+V36/V112*1000</f>
        <v>0</v>
      </c>
      <c r="W86" s="56">
        <f>+W36/W112*1000</f>
        <v>0</v>
      </c>
      <c r="X86" s="56"/>
      <c r="Y86" s="47">
        <f>+Y36/Y112*1000</f>
        <v>0</v>
      </c>
      <c r="Z86" s="47">
        <f>+Z36/Z112*1000</f>
        <v>0</v>
      </c>
      <c r="AA86" s="56">
        <f>+AA36/AA112*1000</f>
        <v>0</v>
      </c>
      <c r="AB86" s="56">
        <f>+AB36/AB112*1000</f>
        <v>0</v>
      </c>
      <c r="AC86" s="56">
        <f>+AC36/AC112*1000</f>
        <v>0</v>
      </c>
    </row>
    <row r="87" spans="2:31 16272:16272" ht="13.9" customHeight="1" x14ac:dyDescent="0.25">
      <c r="B87" s="68" t="s">
        <v>79</v>
      </c>
      <c r="C87" s="8"/>
      <c r="E87" s="48">
        <f>+E37/E112*1000-0.01</f>
        <v>-0.96957778577425935</v>
      </c>
      <c r="G87" s="48">
        <f>+G37/G112*1000-0.02</f>
        <v>-0.27366843584139872</v>
      </c>
      <c r="I87" s="48">
        <f>+I37/I112*1000</f>
        <v>-0.3617175198944636</v>
      </c>
      <c r="K87" s="48">
        <f>+K37/K112*1000</f>
        <v>-0.47617075897478367</v>
      </c>
      <c r="M87" s="65">
        <f>+M37/M112*1000</f>
        <v>-1.5412608369902601</v>
      </c>
      <c r="O87" s="65">
        <f>+O37/O112*1000-0.01</f>
        <v>-2.4670024570024567</v>
      </c>
      <c r="P87" s="101">
        <f>+P37/P112*1000</f>
        <v>-0.79770261646458207</v>
      </c>
      <c r="Q87" s="65">
        <f>+Q37/Q112*1000+0.01</f>
        <v>-2.1899752811766162</v>
      </c>
      <c r="R87" s="91"/>
      <c r="S87" s="48">
        <f>+S37/S112*1000</f>
        <v>-0.11174432897530451</v>
      </c>
      <c r="T87" s="48">
        <f>+T37/T112*1000</f>
        <v>-0.21867483052700634</v>
      </c>
      <c r="U87" s="65">
        <f>+U37/U112*1000</f>
        <v>0</v>
      </c>
      <c r="V87" s="65">
        <f>+V37/V112*1000</f>
        <v>0.1123721766490617</v>
      </c>
      <c r="W87" s="65">
        <f>+W37/W112*1000</f>
        <v>-5.5000962516844047E-2</v>
      </c>
      <c r="X87" s="56"/>
      <c r="Y87" s="48">
        <f>+Y37/Y112*1000</f>
        <v>0.12565971349585323</v>
      </c>
      <c r="Z87" s="48">
        <f>+Z37/Z112*1000</f>
        <v>0.12065637065637067</v>
      </c>
      <c r="AA87" s="65">
        <f>+AA37/AA112*1000</f>
        <v>0</v>
      </c>
      <c r="AB87" s="65">
        <f>+AB37/AB112*1000</f>
        <v>0</v>
      </c>
      <c r="AC87" s="65">
        <f>+AC37/AC112*1000</f>
        <v>0.12310722639418935</v>
      </c>
    </row>
    <row r="88" spans="2:31 16272:16272" ht="3.65" customHeight="1" x14ac:dyDescent="0.3">
      <c r="B88" s="1"/>
      <c r="C88" s="8"/>
      <c r="E88" s="47"/>
      <c r="G88" s="47"/>
      <c r="I88" s="47"/>
      <c r="K88" s="47"/>
      <c r="M88" s="56"/>
      <c r="O88" s="56"/>
      <c r="P88" s="99"/>
      <c r="Q88" s="56"/>
      <c r="R88" s="91"/>
      <c r="S88" s="47"/>
      <c r="T88" s="47"/>
      <c r="U88" s="56"/>
      <c r="V88" s="56"/>
      <c r="W88" s="56"/>
      <c r="X88" s="56"/>
      <c r="Y88" s="47"/>
      <c r="Z88" s="47"/>
      <c r="AA88" s="56"/>
      <c r="AB88" s="56"/>
      <c r="AC88" s="56"/>
    </row>
    <row r="89" spans="2:31 16272:16272" ht="14.65" customHeight="1" x14ac:dyDescent="0.3">
      <c r="B89" s="1" t="s">
        <v>26</v>
      </c>
      <c r="C89" s="8"/>
      <c r="E89" s="34">
        <f>+E80+E83+E84+E85+E87+E86-0.01</f>
        <v>-93.846885656025663</v>
      </c>
      <c r="G89" s="34">
        <f>+G80+G83+G84+G85+G87+G86</f>
        <v>3.902354043084618</v>
      </c>
      <c r="H89" s="52"/>
      <c r="I89" s="34">
        <f>+I80+I83+I84+I85+I87+I86-0.01</f>
        <v>-5.5865224052087417</v>
      </c>
      <c r="K89" s="34">
        <f>+K80+K83+K84+K85+K87+K86-0.01</f>
        <v>8.8816198087035687</v>
      </c>
      <c r="M89" s="34">
        <f t="shared" ref="M89" si="60">+M80+M83+M84+M85+M87+M86-0.01</f>
        <v>2.1206400513753612</v>
      </c>
      <c r="O89" s="66">
        <f t="shared" ref="O89" si="61">+O80+O83+O84+O85+O87+O86</f>
        <v>58.383058383058405</v>
      </c>
      <c r="P89" s="100">
        <f>+P80+P83+P84+P85+P87+P86</f>
        <v>-19.952565411614561</v>
      </c>
      <c r="Q89" s="66">
        <f>+Q80+Q83+Q84+Q85+Q87+Q86</f>
        <v>46.248918551476947</v>
      </c>
      <c r="R89" s="91"/>
      <c r="S89" s="34">
        <f>+S80+S83+S84+S85+S87+S86+0.01</f>
        <v>-9.9352452788021033</v>
      </c>
      <c r="T89" s="34">
        <f>+T80+T83+T84+T85+T87+T86</f>
        <v>-11.699103433194837</v>
      </c>
      <c r="U89" s="34">
        <f>+U80+U83+U84+U85+U87+U86</f>
        <v>11.421861656703683</v>
      </c>
      <c r="V89" s="34">
        <f>+V80+V83+V84+V85+V87+V86</f>
        <v>35.727140128104288</v>
      </c>
      <c r="W89" s="34">
        <f>+W80+W83+W84+W85+W87+W86-0.02</f>
        <v>6.2876102081786573</v>
      </c>
      <c r="X89" s="34"/>
      <c r="Y89" s="34">
        <f>+Y80+Y83+Y84+Y85+Y87+Y86+0.01</f>
        <v>-25.2576024126665</v>
      </c>
      <c r="Z89" s="34">
        <f>+Z80+Z83+Z84+Z85+Z87+Z86</f>
        <v>32.094594594594589</v>
      </c>
      <c r="AA89" s="34">
        <f>+AA80+AA83+AA84+AA85+AA87+AA86</f>
        <v>0</v>
      </c>
      <c r="AB89" s="34">
        <f>+AB80+AB83+AB84+AB85+AB87+AB86</f>
        <v>0</v>
      </c>
      <c r="AC89" s="34">
        <f>+AC80+AC83+AC84+AC85+AC87+AC86</f>
        <v>4.0009848578111624</v>
      </c>
      <c r="AD89" s="34"/>
      <c r="AE89" s="34"/>
    </row>
    <row r="90" spans="2:31 16272:16272" ht="14.65" customHeight="1" x14ac:dyDescent="0.25">
      <c r="B90" s="39" t="s">
        <v>91</v>
      </c>
      <c r="C90" s="8"/>
      <c r="E90" s="65">
        <f>E39/(E112)*1000</f>
        <v>32.934080433180831</v>
      </c>
      <c r="G90" s="48">
        <f>G39/(G112)*1000</f>
        <v>1.5220106150483921</v>
      </c>
      <c r="I90" s="48">
        <f>I39/(I112)*1000</f>
        <v>0</v>
      </c>
      <c r="K90" s="48">
        <f>K39/(K112)*1000</f>
        <v>0</v>
      </c>
      <c r="M90" s="65">
        <f>M39/(M112)*1000</f>
        <v>-2.1406400513753612E-2</v>
      </c>
      <c r="O90" s="65">
        <f>O39/(O112)*1000</f>
        <v>0</v>
      </c>
      <c r="P90" s="101">
        <f>P39/(P112)*1000</f>
        <v>0</v>
      </c>
      <c r="Q90" s="65">
        <f>Q39/(Q112)*1000</f>
        <v>0</v>
      </c>
      <c r="R90" s="91"/>
      <c r="S90" s="48">
        <f>S39/(S112)*1000</f>
        <v>0</v>
      </c>
      <c r="T90" s="48">
        <f>T39/(T112)*1000</f>
        <v>0</v>
      </c>
      <c r="U90" s="65">
        <f>U39/(U112)*1000</f>
        <v>0</v>
      </c>
      <c r="V90" s="65">
        <f>V39/(V112)*1000</f>
        <v>44.499381953028433</v>
      </c>
      <c r="W90" s="65">
        <f>W39/(W112)*1000-0.01</f>
        <v>10.880190578335121</v>
      </c>
      <c r="X90" s="56"/>
      <c r="Y90" s="48">
        <f>Y39/(Y112)*1000</f>
        <v>3.2671525508921841</v>
      </c>
      <c r="Z90" s="48">
        <f>Z39/(Z112)*1000</f>
        <v>-9.1698841698841704</v>
      </c>
      <c r="AA90" s="65">
        <f>AA39/(AA112)*1000</f>
        <v>0</v>
      </c>
      <c r="AB90" s="65">
        <f>AB39/(AB112)*1000</f>
        <v>0</v>
      </c>
      <c r="AC90" s="65">
        <f>AC39/(AC112)*1000</f>
        <v>-3.0776806598547335</v>
      </c>
    </row>
    <row r="91" spans="2:31 16272:16272" ht="14.65" customHeight="1" x14ac:dyDescent="0.3">
      <c r="B91" s="1" t="s">
        <v>27</v>
      </c>
      <c r="C91" s="31"/>
      <c r="D91" s="30"/>
      <c r="E91" s="47">
        <f>SUM(E89:E90)-0.01</f>
        <v>-60.922805222844829</v>
      </c>
      <c r="F91" s="30"/>
      <c r="G91" s="47">
        <f>SUM(G89:G90)</f>
        <v>5.4243646581330101</v>
      </c>
      <c r="H91" s="52"/>
      <c r="I91" s="47">
        <f>SUM(I89:I90)</f>
        <v>-5.5865224052087417</v>
      </c>
      <c r="K91" s="47">
        <f>SUM(K89:K90)</f>
        <v>8.8816198087035687</v>
      </c>
      <c r="M91" s="56">
        <f>SUM(M89:M90)</f>
        <v>2.0992336508616076</v>
      </c>
      <c r="O91" s="56">
        <f t="shared" ref="O91" si="62">SUM(O89:O90)</f>
        <v>58.383058383058405</v>
      </c>
      <c r="P91" s="99">
        <f t="shared" ref="P91" si="63">SUM(P89:P90)</f>
        <v>-19.952565411614561</v>
      </c>
      <c r="Q91" s="56">
        <f>SUM(Q89:Q90)</f>
        <v>46.248918551476947</v>
      </c>
      <c r="R91" s="91"/>
      <c r="S91" s="47">
        <f>SUM(S89:S90)</f>
        <v>-9.9352452788021033</v>
      </c>
      <c r="T91" s="47">
        <f>SUM(T89:T90)</f>
        <v>-11.699103433194837</v>
      </c>
      <c r="U91" s="56">
        <f>SUM(U89:U90)</f>
        <v>11.421861656703683</v>
      </c>
      <c r="V91" s="56">
        <f>SUM(V89:V90)</f>
        <v>80.226522081132714</v>
      </c>
      <c r="W91" s="56">
        <f>SUM(W89:W90)</f>
        <v>17.16780078651378</v>
      </c>
      <c r="X91" s="56"/>
      <c r="Y91" s="47">
        <f>SUM(Y89:Y90)</f>
        <v>-21.990449861774316</v>
      </c>
      <c r="Z91" s="47">
        <f>SUM(Z89:Z90)</f>
        <v>22.924710424710419</v>
      </c>
      <c r="AA91" s="56">
        <f>SUM(AA89:AA90)</f>
        <v>0</v>
      </c>
      <c r="AB91" s="56">
        <f>SUM(AB89:AB90)</f>
        <v>0</v>
      </c>
      <c r="AC91" s="56">
        <f>SUM(AC89:AC90)</f>
        <v>0.92330419795642893</v>
      </c>
      <c r="AD91" s="34"/>
      <c r="AE91" s="34"/>
    </row>
    <row r="92" spans="2:31 16272:16272" ht="4.1500000000000004" customHeight="1" x14ac:dyDescent="0.3">
      <c r="B92" s="1"/>
      <c r="C92" s="31"/>
      <c r="D92" s="30"/>
      <c r="E92" s="47"/>
      <c r="F92" s="30"/>
      <c r="G92" s="47"/>
      <c r="H92" s="52"/>
      <c r="I92" s="47"/>
      <c r="K92" s="47"/>
      <c r="M92" s="56"/>
      <c r="O92" s="56"/>
      <c r="P92" s="99"/>
      <c r="Q92" s="56"/>
      <c r="R92" s="91"/>
      <c r="S92" s="47"/>
      <c r="T92" s="47"/>
      <c r="U92" s="56"/>
      <c r="V92" s="56"/>
      <c r="W92" s="56"/>
      <c r="X92" s="56"/>
      <c r="Y92" s="47"/>
      <c r="Z92" s="47"/>
      <c r="AA92" s="56"/>
      <c r="AB92" s="56"/>
      <c r="AC92" s="56"/>
    </row>
    <row r="93" spans="2:31 16272:16272" ht="14.65" customHeight="1" x14ac:dyDescent="0.3">
      <c r="B93" s="87" t="s">
        <v>44</v>
      </c>
      <c r="C93" s="31"/>
      <c r="M93" s="36"/>
      <c r="P93" s="98"/>
      <c r="R93" s="91"/>
      <c r="U93" s="36"/>
      <c r="V93" s="36"/>
      <c r="W93" s="36"/>
      <c r="X93" s="36"/>
      <c r="AA93" s="36"/>
      <c r="AB93" s="36"/>
      <c r="AC93" s="36"/>
      <c r="XAV93" s="48"/>
    </row>
    <row r="94" spans="2:31 16272:16272" ht="14.65" customHeight="1" x14ac:dyDescent="0.3">
      <c r="B94" s="74" t="s">
        <v>43</v>
      </c>
      <c r="C94" s="31"/>
      <c r="D94" s="30"/>
      <c r="E94" s="47">
        <f>E43/(E112)*1000</f>
        <v>0</v>
      </c>
      <c r="F94" s="22"/>
      <c r="G94" s="47">
        <f>G43/(G112)*1000</f>
        <v>0</v>
      </c>
      <c r="H94" s="52"/>
      <c r="I94" s="47">
        <f>I43/(I112)*1000</f>
        <v>0</v>
      </c>
      <c r="K94" s="47">
        <f>K43/(K112)*1000</f>
        <v>-2.0496045712392865</v>
      </c>
      <c r="M94" s="56">
        <f>M43/(M112)*1000</f>
        <v>-2.504548860109173</v>
      </c>
      <c r="O94" s="56">
        <f>O43/(O112)*1000</f>
        <v>-2.7495027495027493</v>
      </c>
      <c r="P94" s="99">
        <f>P43/(P112)*1000</f>
        <v>0</v>
      </c>
      <c r="Q94" s="56">
        <f>Q43/(Q112)*1000-0.01</f>
        <v>-2.3335693980966501</v>
      </c>
      <c r="R94" s="91"/>
      <c r="S94" s="47">
        <f>S43/(S112)*1000</f>
        <v>0</v>
      </c>
      <c r="T94" s="47">
        <f>T43/(T112)*1000</f>
        <v>0</v>
      </c>
      <c r="U94" s="56">
        <f>U43/(U112)*1000</f>
        <v>0</v>
      </c>
      <c r="V94" s="56">
        <f>V43/(V112)*1000</f>
        <v>0</v>
      </c>
      <c r="W94" s="56">
        <f>W43/(W112)*1000</f>
        <v>0</v>
      </c>
      <c r="X94" s="56"/>
      <c r="Y94" s="47">
        <f>Y43/(Y112)*1000</f>
        <v>0</v>
      </c>
      <c r="Z94" s="47">
        <f>Z43/(Z112)*1000</f>
        <v>0</v>
      </c>
      <c r="AA94" s="56">
        <f>AA43/(AA112)*1000</f>
        <v>0</v>
      </c>
      <c r="AB94" s="56">
        <f>AB43/(AB112)*1000</f>
        <v>0</v>
      </c>
      <c r="AC94" s="56">
        <f>AC43/(AC112)*1000</f>
        <v>0</v>
      </c>
      <c r="XAV94" s="47"/>
    </row>
    <row r="95" spans="2:31 16272:16272" ht="14.65" customHeight="1" x14ac:dyDescent="0.3">
      <c r="B95" s="74" t="s">
        <v>80</v>
      </c>
      <c r="C95" s="31"/>
      <c r="D95" s="30"/>
      <c r="E95" s="47">
        <f>E44/(E112)*1000</f>
        <v>0</v>
      </c>
      <c r="F95" s="22"/>
      <c r="G95" s="47">
        <f>G44/(G112)*1000</f>
        <v>0</v>
      </c>
      <c r="H95" s="52"/>
      <c r="I95" s="47">
        <f>I44/(I112)*1000</f>
        <v>-8.5110004681050261E-2</v>
      </c>
      <c r="K95" s="47">
        <f>K44/(K112)*1000</f>
        <v>-4.1406152954329013E-2</v>
      </c>
      <c r="M95" s="65">
        <f>M44/(M112)*1000</f>
        <v>-0.21406400513753612</v>
      </c>
      <c r="O95" s="65">
        <f>O44/(O112)*1000</f>
        <v>-0.38025038025038022</v>
      </c>
      <c r="P95" s="101">
        <f>P44/(P112)*1000+0.01</f>
        <v>0.32908104658583281</v>
      </c>
      <c r="Q95" s="65">
        <f>Q44/(Q112)*1000</f>
        <v>-0.2719070572240761</v>
      </c>
      <c r="R95" s="91"/>
      <c r="S95" s="48">
        <f>S44/(S112)*1000</f>
        <v>-0.55872164487652254</v>
      </c>
      <c r="T95" s="48">
        <f>T44/(T112)*1000</f>
        <v>-0.43734966105401268</v>
      </c>
      <c r="U95" s="65">
        <f>U44/(U112)*1000</f>
        <v>-0.42698548249359519</v>
      </c>
      <c r="V95" s="65">
        <f>V44/(V112)*1000</f>
        <v>0</v>
      </c>
      <c r="W95" s="65">
        <f>W44/(W112)*1000</f>
        <v>-0.35750625635948624</v>
      </c>
      <c r="X95" s="56"/>
      <c r="Y95" s="48">
        <f>Y44/(Y112)*1000</f>
        <v>0</v>
      </c>
      <c r="Z95" s="48">
        <f>Z44/(Z112)*1000</f>
        <v>0</v>
      </c>
      <c r="AA95" s="65">
        <f>AA44/(AA112)*1000</f>
        <v>0</v>
      </c>
      <c r="AB95" s="65">
        <f>AB44/(AB112)*1000</f>
        <v>0</v>
      </c>
      <c r="AC95" s="65">
        <f>AC44/(AC112)*1000</f>
        <v>0</v>
      </c>
      <c r="XAV95" s="47"/>
    </row>
    <row r="96" spans="2:31 16272:16272" ht="14.65" customHeight="1" x14ac:dyDescent="0.3">
      <c r="B96" s="74" t="s">
        <v>45</v>
      </c>
      <c r="C96" s="31"/>
      <c r="D96" s="30"/>
      <c r="E96" s="86">
        <f>+E94+E95</f>
        <v>0</v>
      </c>
      <c r="F96" s="22"/>
      <c r="G96" s="86">
        <f>+G94+G95</f>
        <v>0</v>
      </c>
      <c r="H96" s="52"/>
      <c r="I96" s="86">
        <f>+I94+I95</f>
        <v>-8.5110004681050261E-2</v>
      </c>
      <c r="K96" s="86">
        <f>+K94+K95</f>
        <v>-2.0910107241936156</v>
      </c>
      <c r="M96" s="56">
        <f>+M94+M95+0.01</f>
        <v>-2.7086128652467094</v>
      </c>
      <c r="O96" s="56">
        <f t="shared" ref="O96" si="64">+O94+O95</f>
        <v>-3.1297531297531296</v>
      </c>
      <c r="P96" s="99">
        <f t="shared" ref="P96" si="65">+P94+P95</f>
        <v>0.32908104658583281</v>
      </c>
      <c r="Q96" s="56">
        <f>+Q94+Q95+0.01</f>
        <v>-2.5954764553207266</v>
      </c>
      <c r="R96" s="91"/>
      <c r="S96" s="47">
        <f>+S94+S95</f>
        <v>-0.55872164487652254</v>
      </c>
      <c r="T96" s="47">
        <f>+T94+T95</f>
        <v>-0.43734966105401268</v>
      </c>
      <c r="U96" s="56">
        <f>+U94+U95</f>
        <v>-0.42698548249359519</v>
      </c>
      <c r="V96" s="56">
        <f>+V94+V95</f>
        <v>0</v>
      </c>
      <c r="W96" s="56">
        <f>+W94+W95</f>
        <v>-0.35750625635948624</v>
      </c>
      <c r="X96" s="56"/>
      <c r="Y96" s="47">
        <f>+Y94+Y95</f>
        <v>0</v>
      </c>
      <c r="Z96" s="47">
        <f>+Z94+Z95</f>
        <v>0</v>
      </c>
      <c r="AA96" s="56">
        <f>+AA94+AA95</f>
        <v>0</v>
      </c>
      <c r="AB96" s="56">
        <f>+AB94+AB95</f>
        <v>0</v>
      </c>
      <c r="AC96" s="56">
        <f>+AC94+AC95</f>
        <v>0</v>
      </c>
      <c r="XAV96" s="47"/>
    </row>
    <row r="97" spans="2:31 16272:16272" ht="1.9" customHeight="1" x14ac:dyDescent="0.3">
      <c r="B97" s="74"/>
      <c r="C97" s="31"/>
      <c r="D97" s="30"/>
      <c r="E97" s="47"/>
      <c r="F97" s="22"/>
      <c r="G97" s="47"/>
      <c r="H97" s="52"/>
      <c r="I97" s="47"/>
      <c r="K97" s="47"/>
      <c r="M97" s="56"/>
      <c r="O97" s="56"/>
      <c r="P97" s="99"/>
      <c r="Q97" s="56"/>
      <c r="R97" s="91"/>
      <c r="S97" s="47"/>
      <c r="T97" s="47"/>
      <c r="U97" s="56"/>
      <c r="V97" s="56"/>
      <c r="W97" s="56"/>
      <c r="X97" s="56"/>
      <c r="Y97" s="47"/>
      <c r="Z97" s="47"/>
      <c r="AA97" s="56"/>
      <c r="AB97" s="56"/>
      <c r="AC97" s="56"/>
      <c r="XAV97" s="47"/>
    </row>
    <row r="98" spans="2:31 16272:16272" ht="14.65" customHeight="1" thickBot="1" x14ac:dyDescent="0.35">
      <c r="B98" s="1" t="s">
        <v>28</v>
      </c>
      <c r="C98" s="31"/>
      <c r="D98" s="30"/>
      <c r="E98" s="49">
        <f>+E91+E96</f>
        <v>-60.922805222844829</v>
      </c>
      <c r="F98" s="30"/>
      <c r="G98" s="49">
        <f>+G91+G96</f>
        <v>5.4243646581330101</v>
      </c>
      <c r="H98" s="52"/>
      <c r="I98" s="49">
        <f>+I91+I96-0.01</f>
        <v>-5.6816324098897919</v>
      </c>
      <c r="K98" s="49">
        <f>+K91+K96</f>
        <v>6.7906090845099527</v>
      </c>
      <c r="M98" s="88">
        <f>+M91+M96</f>
        <v>-0.60937921438510179</v>
      </c>
      <c r="O98" s="88">
        <f t="shared" ref="O98" si="66">+O91+O96</f>
        <v>55.253305253305278</v>
      </c>
      <c r="P98" s="102">
        <f>+P91+P96</f>
        <v>-19.623484365028727</v>
      </c>
      <c r="Q98" s="88">
        <f>+Q91+Q96</f>
        <v>43.653442096156219</v>
      </c>
      <c r="R98" s="91"/>
      <c r="S98" s="49">
        <f>+S91+S96-0.01</f>
        <v>-10.503966923678625</v>
      </c>
      <c r="T98" s="49">
        <f>+T91+T96</f>
        <v>-12.13645309424885</v>
      </c>
      <c r="U98" s="88">
        <f>+U91+U96</f>
        <v>10.994876174210088</v>
      </c>
      <c r="V98" s="88">
        <f>+V91+V96</f>
        <v>80.226522081132714</v>
      </c>
      <c r="W98" s="88">
        <f>+W91+W96</f>
        <v>16.810294530154295</v>
      </c>
      <c r="X98" s="85"/>
      <c r="Y98" s="49">
        <f>+Y91+Y96</f>
        <v>-21.990449861774316</v>
      </c>
      <c r="Z98" s="49">
        <f>+Z91+Z96</f>
        <v>22.924710424710419</v>
      </c>
      <c r="AA98" s="88">
        <f>+AA91+AA96</f>
        <v>0</v>
      </c>
      <c r="AB98" s="88">
        <f>+AB91+AB96</f>
        <v>0</v>
      </c>
      <c r="AC98" s="88">
        <f>+AC91+AC96</f>
        <v>0.92330419795642893</v>
      </c>
      <c r="AD98" s="85"/>
      <c r="AE98" s="85"/>
    </row>
    <row r="99" spans="2:31 16272:16272" ht="13" thickTop="1" x14ac:dyDescent="0.25">
      <c r="H99" s="36"/>
      <c r="M99" s="36"/>
      <c r="O99" s="63"/>
      <c r="P99" s="103"/>
      <c r="Q99" s="63"/>
      <c r="T99" s="25"/>
      <c r="U99" s="63"/>
      <c r="V99" s="63"/>
      <c r="W99" s="36"/>
      <c r="X99" s="36"/>
      <c r="Z99" s="25"/>
      <c r="AA99" s="63"/>
      <c r="AB99" s="63"/>
      <c r="AC99" s="36"/>
    </row>
    <row r="100" spans="2:31 16272:16272" x14ac:dyDescent="0.25">
      <c r="B100" t="s">
        <v>85</v>
      </c>
      <c r="E100" s="128">
        <f t="shared" ref="E100:W100" si="67">E53/(E112)*1000</f>
        <v>37.954728490892577</v>
      </c>
      <c r="F100" s="129"/>
      <c r="G100" s="128">
        <f t="shared" si="67"/>
        <v>33.133000312207301</v>
      </c>
      <c r="H100" s="129"/>
      <c r="I100" s="128">
        <f t="shared" si="67"/>
        <v>41.044299757436491</v>
      </c>
      <c r="J100" s="129"/>
      <c r="K100" s="128">
        <f t="shared" si="67"/>
        <v>48.900666639062564</v>
      </c>
      <c r="L100" s="129"/>
      <c r="M100" s="128">
        <f t="shared" si="67"/>
        <v>50.968639623247356</v>
      </c>
      <c r="N100" s="129"/>
      <c r="O100" s="144">
        <f t="shared" si="67"/>
        <v>35.1000351000351</v>
      </c>
      <c r="P100" s="130">
        <f>P53/(P112)*1000</f>
        <v>37.651563497128265</v>
      </c>
      <c r="Q100" s="144">
        <f t="shared" si="67"/>
        <v>35.496230379433939</v>
      </c>
      <c r="R100" s="129"/>
      <c r="S100" s="128">
        <f t="shared" si="67"/>
        <v>43.915521287294673</v>
      </c>
      <c r="T100" s="128">
        <f t="shared" si="67"/>
        <v>43.297616444347256</v>
      </c>
      <c r="U100" s="128">
        <f t="shared" si="67"/>
        <v>48.035866780529467</v>
      </c>
      <c r="V100" s="128">
        <f t="shared" ref="V100" si="68">V53/(V112)*1000</f>
        <v>55.062366558040225</v>
      </c>
      <c r="W100" s="128">
        <f t="shared" si="67"/>
        <v>47.548332095811674</v>
      </c>
      <c r="X100" s="129"/>
      <c r="Y100" s="128">
        <f t="shared" ref="Y100:AC100" si="69">Y53/(Y112)*1000</f>
        <v>56.169891932646394</v>
      </c>
      <c r="Z100" s="128">
        <f t="shared" si="69"/>
        <v>57.553088803088805</v>
      </c>
      <c r="AA100" s="128">
        <f t="shared" si="69"/>
        <v>0</v>
      </c>
      <c r="AB100" s="128">
        <f t="shared" si="69"/>
        <v>0</v>
      </c>
      <c r="AC100" s="128">
        <f t="shared" si="69"/>
        <v>56.875538594115476</v>
      </c>
    </row>
    <row r="101" spans="2:31 16272:16272" x14ac:dyDescent="0.25">
      <c r="H101" s="36"/>
      <c r="M101" s="36"/>
      <c r="O101" s="63"/>
      <c r="P101" s="127"/>
      <c r="Q101" s="63"/>
      <c r="T101" s="25"/>
      <c r="U101" s="63"/>
      <c r="V101" s="63"/>
      <c r="W101" s="36"/>
      <c r="X101" s="36"/>
      <c r="Z101" s="25"/>
      <c r="AA101" s="63"/>
      <c r="AB101" s="63"/>
      <c r="AC101" s="36"/>
    </row>
    <row r="102" spans="2:31 16272:16272" x14ac:dyDescent="0.25">
      <c r="E102" s="34"/>
      <c r="F102" s="34"/>
      <c r="G102" s="34"/>
      <c r="H102" s="66"/>
      <c r="I102" s="34"/>
      <c r="J102" s="34"/>
      <c r="K102" s="34"/>
      <c r="L102" s="34"/>
      <c r="M102" s="34"/>
      <c r="N102" s="34"/>
      <c r="O102" s="145"/>
      <c r="P102" s="146"/>
      <c r="Q102" s="145"/>
      <c r="S102" s="34"/>
      <c r="T102" s="67"/>
      <c r="U102" s="67"/>
      <c r="V102" s="34"/>
      <c r="W102" s="34"/>
      <c r="X102" s="34"/>
      <c r="Y102" s="34"/>
      <c r="Z102" s="67"/>
      <c r="AA102" s="67"/>
      <c r="AB102" s="34"/>
      <c r="AC102" s="34"/>
    </row>
    <row r="103" spans="2:31 16272:16272" outlineLevel="1" x14ac:dyDescent="0.25">
      <c r="B103" s="81"/>
      <c r="E103" s="34"/>
      <c r="F103" s="34"/>
      <c r="G103" s="34"/>
      <c r="H103" s="34"/>
      <c r="I103" s="34"/>
      <c r="J103" s="34"/>
      <c r="K103" s="34"/>
      <c r="L103" s="34"/>
      <c r="M103" s="34"/>
      <c r="N103" s="34"/>
      <c r="O103" s="66"/>
      <c r="P103" s="66"/>
      <c r="Q103" s="66"/>
      <c r="R103" s="34"/>
      <c r="S103" s="34"/>
      <c r="T103" s="34"/>
      <c r="U103" s="34"/>
      <c r="V103" s="34"/>
      <c r="W103" s="34"/>
      <c r="X103" s="34"/>
      <c r="Y103" s="34"/>
      <c r="Z103" s="34"/>
      <c r="AA103" s="34"/>
      <c r="AB103" s="34"/>
      <c r="AC103" s="34"/>
    </row>
    <row r="104" spans="2:31 16272:16272" ht="6" customHeight="1" outlineLevel="1" x14ac:dyDescent="0.25">
      <c r="B104" s="81"/>
      <c r="O104" s="51"/>
      <c r="P104" s="51"/>
    </row>
    <row r="105" spans="2:31 16272:16272" outlineLevel="1" x14ac:dyDescent="0.25">
      <c r="B105" s="81" t="s">
        <v>50</v>
      </c>
      <c r="O105" s="51"/>
      <c r="P105" s="51"/>
    </row>
    <row r="106" spans="2:31 16272:16272" outlineLevel="1" x14ac:dyDescent="0.25">
      <c r="B106" s="81" t="s">
        <v>37</v>
      </c>
      <c r="O106" s="51"/>
      <c r="P106" s="51"/>
    </row>
    <row r="107" spans="2:31 16272:16272" ht="9" customHeight="1" outlineLevel="1" x14ac:dyDescent="0.25">
      <c r="B107" s="81"/>
      <c r="O107" s="51"/>
      <c r="P107" s="51"/>
    </row>
    <row r="108" spans="2:31 16272:16272" outlineLevel="1" x14ac:dyDescent="0.25">
      <c r="B108" s="81" t="s">
        <v>51</v>
      </c>
      <c r="O108" s="51"/>
      <c r="P108" s="51"/>
      <c r="W108" s="34"/>
      <c r="X108" s="34"/>
      <c r="AC108" s="34"/>
    </row>
    <row r="109" spans="2:31 16272:16272" ht="14.5" outlineLevel="1" x14ac:dyDescent="0.25">
      <c r="B109" s="82"/>
      <c r="O109" s="51"/>
      <c r="P109" s="51"/>
    </row>
    <row r="110" spans="2:31 16272:16272" ht="14.5" outlineLevel="1" x14ac:dyDescent="0.25">
      <c r="B110" s="82"/>
      <c r="O110" s="51"/>
      <c r="P110" s="51"/>
    </row>
    <row r="111" spans="2:31 16272:16272" x14ac:dyDescent="0.25">
      <c r="G111" s="45"/>
      <c r="H111" s="36"/>
      <c r="I111" s="45"/>
      <c r="K111" s="45"/>
      <c r="M111" s="45"/>
      <c r="O111" s="51"/>
      <c r="P111" s="51"/>
      <c r="W111" s="45"/>
      <c r="X111" s="45"/>
      <c r="AC111" s="45"/>
    </row>
    <row r="112" spans="2:31 16272:16272" s="36" customFormat="1" hidden="1" x14ac:dyDescent="0.25">
      <c r="B112" s="36" t="s">
        <v>67</v>
      </c>
      <c r="E112" s="114">
        <v>58359</v>
      </c>
      <c r="F112" s="114"/>
      <c r="G112" s="114">
        <v>51248</v>
      </c>
      <c r="I112" s="114">
        <v>46998</v>
      </c>
      <c r="K112" s="114">
        <v>48302</v>
      </c>
      <c r="M112" s="114">
        <v>46715</v>
      </c>
      <c r="O112" s="92">
        <v>34188</v>
      </c>
      <c r="P112" s="93">
        <v>6268</v>
      </c>
      <c r="Q112" s="92">
        <f>O112+P112-1</f>
        <v>40455</v>
      </c>
      <c r="S112" s="114">
        <v>8949</v>
      </c>
      <c r="T112" s="114">
        <v>9146</v>
      </c>
      <c r="U112" s="114">
        <v>9368</v>
      </c>
      <c r="V112" s="114">
        <v>8899</v>
      </c>
      <c r="W112" s="114">
        <v>36363</v>
      </c>
      <c r="X112" s="114"/>
      <c r="Y112" s="147">
        <v>7958</v>
      </c>
      <c r="Z112" s="114">
        <v>8288</v>
      </c>
      <c r="AA112" s="114">
        <v>1</v>
      </c>
      <c r="AB112" s="114">
        <v>-1</v>
      </c>
      <c r="AC112" s="114">
        <f>Y112+Z112</f>
        <v>16246</v>
      </c>
    </row>
    <row r="113" spans="1:29" s="36" customFormat="1" ht="12" hidden="1" customHeight="1" x14ac:dyDescent="0.25">
      <c r="D113" s="115"/>
      <c r="E113" s="114"/>
      <c r="F113" s="115"/>
      <c r="G113" s="114"/>
      <c r="I113" s="114"/>
      <c r="K113" s="114"/>
      <c r="M113" s="114"/>
      <c r="S113" s="114">
        <v>0</v>
      </c>
      <c r="T113" s="114">
        <v>0</v>
      </c>
      <c r="U113" s="114">
        <v>0</v>
      </c>
      <c r="V113" s="116">
        <v>0</v>
      </c>
      <c r="W113" s="114">
        <f>+S113+T113+U113+V113</f>
        <v>0</v>
      </c>
      <c r="X113" s="114"/>
      <c r="Y113" s="114">
        <v>0</v>
      </c>
      <c r="Z113" s="114">
        <v>0</v>
      </c>
      <c r="AA113" s="114">
        <v>0</v>
      </c>
      <c r="AB113" s="116">
        <v>0</v>
      </c>
      <c r="AC113" s="114">
        <f>+Y113+Z113+AA113+AB113</f>
        <v>0</v>
      </c>
    </row>
    <row r="114" spans="1:29" x14ac:dyDescent="0.25">
      <c r="A114" s="36"/>
      <c r="B114" s="36"/>
      <c r="C114" s="36"/>
      <c r="D114" s="36"/>
      <c r="E114" s="36"/>
      <c r="F114" s="36"/>
      <c r="G114" s="36"/>
      <c r="H114" s="36"/>
      <c r="I114" s="36"/>
      <c r="J114" s="36"/>
      <c r="K114" s="36"/>
      <c r="L114" s="36"/>
      <c r="M114" s="36"/>
      <c r="N114" s="36"/>
      <c r="R114" s="36"/>
      <c r="S114" s="36"/>
      <c r="T114" s="36"/>
      <c r="U114" s="36"/>
      <c r="V114" s="36"/>
      <c r="W114" s="36"/>
      <c r="X114" s="36"/>
      <c r="Y114" s="36"/>
      <c r="Z114" s="36"/>
      <c r="AA114" s="36"/>
      <c r="AB114" s="36"/>
      <c r="AC114" s="36"/>
    </row>
    <row r="115" spans="1:29" x14ac:dyDescent="0.25">
      <c r="A115" s="36"/>
      <c r="B115" s="36"/>
      <c r="C115" s="36"/>
      <c r="D115" s="36"/>
      <c r="E115" s="66"/>
      <c r="F115" s="36"/>
      <c r="G115" s="66"/>
      <c r="H115" s="36"/>
      <c r="I115" s="66"/>
      <c r="J115" s="36"/>
      <c r="K115" s="66"/>
      <c r="L115" s="36"/>
      <c r="M115" s="66"/>
      <c r="N115" s="36"/>
      <c r="R115" s="36"/>
      <c r="S115" s="66"/>
      <c r="T115" s="66"/>
      <c r="U115" s="66"/>
      <c r="V115" s="66"/>
      <c r="W115" s="66"/>
      <c r="X115" s="66"/>
      <c r="Y115" s="66"/>
      <c r="Z115" s="66"/>
      <c r="AA115" s="66"/>
      <c r="AB115" s="66"/>
      <c r="AC115" s="66"/>
    </row>
    <row r="116" spans="1:29" x14ac:dyDescent="0.25">
      <c r="A116" s="36"/>
      <c r="B116" s="36"/>
      <c r="C116" s="36"/>
      <c r="D116" s="36"/>
      <c r="E116" s="66"/>
      <c r="F116" s="36"/>
      <c r="G116" s="66"/>
      <c r="H116" s="36"/>
      <c r="I116" s="66"/>
      <c r="J116" s="36"/>
      <c r="K116" s="66"/>
      <c r="L116" s="36"/>
      <c r="M116" s="66"/>
      <c r="N116" s="36"/>
      <c r="R116" s="36"/>
      <c r="S116" s="66"/>
      <c r="T116" s="66"/>
      <c r="U116" s="66"/>
      <c r="V116" s="66"/>
      <c r="W116" s="66"/>
      <c r="X116" s="66"/>
      <c r="Y116" s="66"/>
      <c r="Z116" s="66"/>
      <c r="AA116" s="66"/>
      <c r="AB116" s="66"/>
      <c r="AC116" s="66"/>
    </row>
    <row r="117" spans="1:29" x14ac:dyDescent="0.25">
      <c r="A117" s="36"/>
      <c r="B117" s="36"/>
      <c r="C117" s="36"/>
      <c r="D117" s="36"/>
      <c r="E117" s="66"/>
      <c r="F117" s="36"/>
      <c r="G117" s="66"/>
      <c r="H117" s="36"/>
      <c r="I117" s="66"/>
      <c r="J117" s="36"/>
      <c r="K117" s="66"/>
      <c r="L117" s="36"/>
      <c r="M117" s="66"/>
      <c r="N117" s="36"/>
      <c r="R117" s="36"/>
      <c r="S117" s="66"/>
      <c r="T117" s="66"/>
      <c r="U117" s="66"/>
      <c r="V117" s="66"/>
      <c r="W117" s="66"/>
      <c r="X117" s="66"/>
      <c r="Y117" s="66"/>
      <c r="Z117" s="66"/>
      <c r="AA117" s="66"/>
      <c r="AB117" s="66"/>
      <c r="AC117" s="66"/>
    </row>
    <row r="118" spans="1:29" x14ac:dyDescent="0.25">
      <c r="A118" s="36"/>
      <c r="B118" s="36"/>
      <c r="C118" s="36"/>
      <c r="D118" s="36"/>
      <c r="E118" s="66"/>
      <c r="F118" s="36"/>
      <c r="G118" s="66"/>
      <c r="H118" s="36"/>
      <c r="I118" s="66"/>
      <c r="J118" s="36"/>
      <c r="K118" s="66"/>
      <c r="L118" s="36"/>
      <c r="M118" s="66"/>
      <c r="N118" s="36"/>
      <c r="R118" s="36"/>
      <c r="S118" s="66"/>
      <c r="T118" s="66"/>
      <c r="U118" s="66"/>
      <c r="V118" s="66"/>
      <c r="W118" s="66"/>
      <c r="X118" s="66"/>
      <c r="Y118" s="66"/>
      <c r="Z118" s="66"/>
      <c r="AA118" s="66"/>
      <c r="AB118" s="66"/>
      <c r="AC118" s="66"/>
    </row>
    <row r="119" spans="1:29" x14ac:dyDescent="0.25">
      <c r="A119" s="36"/>
      <c r="B119" s="36"/>
      <c r="C119" s="36"/>
      <c r="D119" s="36"/>
      <c r="E119" s="66"/>
      <c r="F119" s="36"/>
      <c r="G119" s="66"/>
      <c r="H119" s="36"/>
      <c r="I119" s="66"/>
      <c r="J119" s="36"/>
      <c r="K119" s="66"/>
      <c r="L119" s="36"/>
      <c r="M119" s="66"/>
      <c r="N119" s="36"/>
      <c r="R119" s="36"/>
      <c r="S119" s="66"/>
      <c r="T119" s="66"/>
      <c r="U119" s="66"/>
      <c r="V119" s="66"/>
      <c r="W119" s="66"/>
      <c r="X119" s="66"/>
      <c r="Y119" s="66"/>
      <c r="Z119" s="66"/>
      <c r="AA119" s="66"/>
      <c r="AB119" s="66"/>
      <c r="AC119" s="66"/>
    </row>
    <row r="120" spans="1:29" x14ac:dyDescent="0.25">
      <c r="A120" s="36"/>
      <c r="B120" s="36"/>
      <c r="C120" s="36"/>
      <c r="D120" s="36"/>
      <c r="E120" s="66"/>
      <c r="F120" s="36"/>
      <c r="G120" s="66"/>
      <c r="H120" s="36"/>
      <c r="I120" s="66"/>
      <c r="J120" s="36"/>
      <c r="K120" s="66"/>
      <c r="L120" s="36"/>
      <c r="M120" s="66"/>
      <c r="N120" s="36"/>
      <c r="R120" s="36"/>
      <c r="S120" s="66"/>
      <c r="T120" s="66"/>
      <c r="U120" s="66"/>
      <c r="V120" s="66"/>
      <c r="W120" s="66"/>
      <c r="X120" s="66"/>
      <c r="Y120" s="66"/>
      <c r="Z120" s="66"/>
      <c r="AA120" s="66"/>
      <c r="AB120" s="66"/>
      <c r="AC120" s="66"/>
    </row>
    <row r="121" spans="1:29" x14ac:dyDescent="0.25">
      <c r="A121" s="36"/>
      <c r="B121" s="36"/>
      <c r="C121" s="36"/>
      <c r="D121" s="36"/>
      <c r="E121" s="36"/>
      <c r="F121" s="36"/>
      <c r="G121" s="36"/>
      <c r="H121" s="36"/>
      <c r="I121" s="66"/>
      <c r="J121" s="36"/>
      <c r="K121" s="66"/>
      <c r="L121" s="36"/>
      <c r="M121" s="66"/>
      <c r="N121" s="36"/>
      <c r="R121" s="36"/>
      <c r="S121" s="66"/>
      <c r="T121" s="66"/>
      <c r="U121" s="66"/>
      <c r="V121" s="66"/>
      <c r="W121" s="66"/>
      <c r="X121" s="66"/>
      <c r="Y121" s="66"/>
      <c r="Z121" s="66"/>
      <c r="AA121" s="66"/>
      <c r="AB121" s="66"/>
      <c r="AC121" s="66"/>
    </row>
    <row r="122" spans="1:29" x14ac:dyDescent="0.25">
      <c r="K122" s="34"/>
      <c r="M122" s="34"/>
      <c r="T122" s="34"/>
      <c r="W122" s="34"/>
      <c r="X122" s="34"/>
      <c r="Y122" s="34"/>
      <c r="Z122" s="34"/>
      <c r="AA122" s="34"/>
      <c r="AB122" s="34"/>
      <c r="AC122" s="34"/>
    </row>
    <row r="123" spans="1:29" x14ac:dyDescent="0.25">
      <c r="K123" s="34"/>
      <c r="M123" s="34"/>
      <c r="T123" s="34"/>
      <c r="W123" s="34"/>
      <c r="X123" s="34"/>
      <c r="Y123" s="34"/>
      <c r="Z123" s="34"/>
      <c r="AA123" s="34"/>
      <c r="AB123" s="34"/>
      <c r="AC123" s="34"/>
    </row>
    <row r="124" spans="1:29" x14ac:dyDescent="0.25">
      <c r="K124" s="34"/>
      <c r="M124" s="34"/>
      <c r="T124" s="34"/>
      <c r="W124" s="34"/>
      <c r="X124" s="34"/>
      <c r="Y124" s="34"/>
      <c r="Z124" s="34"/>
      <c r="AA124" s="34"/>
      <c r="AB124" s="34"/>
      <c r="AC124" s="34"/>
    </row>
    <row r="125" spans="1:29" x14ac:dyDescent="0.25">
      <c r="K125" s="34"/>
      <c r="M125" s="34"/>
      <c r="T125" s="34"/>
      <c r="W125" s="34"/>
      <c r="X125" s="34"/>
      <c r="Y125" s="34"/>
      <c r="Z125" s="34"/>
      <c r="AA125" s="34"/>
      <c r="AB125" s="34"/>
      <c r="AC125" s="34"/>
    </row>
    <row r="126" spans="1:29" x14ac:dyDescent="0.25">
      <c r="K126" s="34"/>
      <c r="M126" s="34"/>
      <c r="T126" s="34"/>
      <c r="W126" s="34"/>
      <c r="X126" s="34"/>
      <c r="Y126" s="34"/>
      <c r="Z126" s="34"/>
      <c r="AA126" s="34"/>
      <c r="AB126" s="34"/>
      <c r="AC126" s="34"/>
    </row>
    <row r="127" spans="1:29" x14ac:dyDescent="0.25">
      <c r="K127" s="34"/>
      <c r="M127" s="34"/>
      <c r="T127" s="34"/>
      <c r="W127" s="34"/>
      <c r="X127" s="34"/>
      <c r="Y127" s="34"/>
      <c r="Z127" s="34"/>
      <c r="AA127" s="34"/>
      <c r="AB127" s="34"/>
      <c r="AC127" s="34"/>
    </row>
    <row r="128" spans="1:29" x14ac:dyDescent="0.25">
      <c r="K128" s="34"/>
      <c r="M128" s="34"/>
      <c r="T128" s="34"/>
      <c r="W128" s="34"/>
      <c r="X128" s="34"/>
      <c r="Y128" s="34"/>
      <c r="Z128" s="34"/>
      <c r="AA128" s="34"/>
      <c r="AB128" s="34"/>
      <c r="AC128" s="34"/>
    </row>
  </sheetData>
  <pageMargins left="0.5" right="0.5" top="0.5" bottom="0.3" header="0" footer="0"/>
  <pageSetup scale="45" orientation="landscape" r:id="rId1"/>
  <ignoredErrors>
    <ignoredError sqref="Q38 Q28 W28 W38 AC28 AC3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32"/>
  <sheetViews>
    <sheetView showGridLines="0" workbookViewId="0">
      <selection activeCell="B2" sqref="B2"/>
    </sheetView>
  </sheetViews>
  <sheetFormatPr defaultRowHeight="12.5" x14ac:dyDescent="0.25"/>
  <cols>
    <col min="1" max="1" width="4" customWidth="1"/>
    <col min="2" max="2" width="4.26953125" customWidth="1"/>
    <col min="3" max="3" width="25.453125" customWidth="1"/>
    <col min="4" max="4" width="7.7265625" customWidth="1"/>
    <col min="5" max="5" width="2.26953125" customWidth="1"/>
    <col min="6" max="6" width="7.7265625" customWidth="1"/>
    <col min="7" max="7" width="2.81640625" customWidth="1"/>
    <col min="8" max="8" width="8.7265625" customWidth="1"/>
    <col min="9" max="9" width="3.453125" customWidth="1"/>
    <col min="10" max="10" width="8.7265625" customWidth="1"/>
    <col min="11" max="11" width="3.453125" customWidth="1"/>
    <col min="12" max="12" width="8.7265625" customWidth="1"/>
    <col min="13" max="13" width="3.26953125" customWidth="1"/>
    <col min="14" max="14" width="11.7265625" style="36" customWidth="1"/>
    <col min="15" max="15" width="9.7265625" style="36" customWidth="1"/>
    <col min="16" max="16" width="10.36328125" style="36" customWidth="1"/>
    <col min="17" max="17" width="2.6328125" customWidth="1"/>
    <col min="23" max="23" width="2.6328125" customWidth="1"/>
  </cols>
  <sheetData>
    <row r="1" spans="1:28" x14ac:dyDescent="0.25">
      <c r="A1" t="s">
        <v>20</v>
      </c>
    </row>
    <row r="2" spans="1:28" ht="18" x14ac:dyDescent="0.4">
      <c r="B2" s="24" t="s">
        <v>0</v>
      </c>
    </row>
    <row r="4" spans="1:28" x14ac:dyDescent="0.25">
      <c r="O4" s="98"/>
      <c r="Q4" s="36"/>
    </row>
    <row r="5" spans="1:28" s="12" customFormat="1" ht="16" thickBot="1" x14ac:dyDescent="0.4">
      <c r="B5" s="26" t="s">
        <v>46</v>
      </c>
      <c r="C5" s="27"/>
      <c r="D5" s="27"/>
      <c r="E5" s="96"/>
      <c r="F5" s="28"/>
      <c r="H5" s="28"/>
      <c r="J5" s="28"/>
      <c r="L5" s="28"/>
      <c r="N5" s="105" t="s">
        <v>56</v>
      </c>
      <c r="O5" s="112" t="s">
        <v>57</v>
      </c>
      <c r="P5" s="105" t="s">
        <v>58</v>
      </c>
      <c r="Q5" s="51"/>
      <c r="R5" s="28"/>
      <c r="S5" s="28"/>
      <c r="T5" s="28"/>
      <c r="U5" s="28"/>
      <c r="V5" s="28"/>
      <c r="X5" s="28"/>
      <c r="Y5" s="28"/>
      <c r="Z5" s="28"/>
      <c r="AA5" s="28"/>
      <c r="AB5" s="28"/>
    </row>
    <row r="6" spans="1:28" s="12" customFormat="1" ht="6" customHeight="1" thickTop="1" x14ac:dyDescent="0.3">
      <c r="A6" s="13"/>
      <c r="B6"/>
      <c r="C6" s="14"/>
      <c r="D6" s="15"/>
      <c r="E6" s="16"/>
      <c r="N6" s="51"/>
      <c r="O6" s="98"/>
      <c r="P6" s="51"/>
      <c r="Q6" s="51"/>
    </row>
    <row r="7" spans="1:28" s="12" customFormat="1" ht="13" x14ac:dyDescent="0.3">
      <c r="A7" s="13"/>
      <c r="B7"/>
      <c r="C7" s="14"/>
      <c r="D7" s="33">
        <v>2015</v>
      </c>
      <c r="E7" s="29"/>
      <c r="F7" s="33">
        <v>2016</v>
      </c>
      <c r="G7" s="43"/>
      <c r="H7" s="33">
        <v>2017</v>
      </c>
      <c r="I7" s="90"/>
      <c r="J7" s="33">
        <v>2018</v>
      </c>
      <c r="L7" s="95" t="s">
        <v>63</v>
      </c>
      <c r="N7" s="94" t="s">
        <v>53</v>
      </c>
      <c r="O7" s="113" t="s">
        <v>53</v>
      </c>
      <c r="P7" s="94" t="s">
        <v>53</v>
      </c>
      <c r="Q7" s="51"/>
      <c r="R7" s="33" t="s">
        <v>59</v>
      </c>
      <c r="S7" s="33" t="s">
        <v>60</v>
      </c>
      <c r="T7" s="33" t="s">
        <v>61</v>
      </c>
      <c r="U7" s="33" t="s">
        <v>62</v>
      </c>
      <c r="V7" s="33" t="s">
        <v>1</v>
      </c>
      <c r="X7" s="33" t="s">
        <v>87</v>
      </c>
      <c r="Y7" s="33" t="s">
        <v>88</v>
      </c>
      <c r="Z7" s="33" t="s">
        <v>89</v>
      </c>
      <c r="AA7" s="33" t="s">
        <v>90</v>
      </c>
      <c r="AB7" s="33" t="s">
        <v>1</v>
      </c>
    </row>
    <row r="8" spans="1:28" s="12" customFormat="1" ht="13" x14ac:dyDescent="0.3">
      <c r="B8" s="37" t="s">
        <v>8</v>
      </c>
      <c r="C8" s="17"/>
      <c r="D8"/>
      <c r="E8"/>
      <c r="N8" s="51"/>
      <c r="O8" s="98"/>
      <c r="P8" s="51"/>
      <c r="Q8" s="51"/>
    </row>
    <row r="9" spans="1:28" s="12" customFormat="1" x14ac:dyDescent="0.25">
      <c r="B9" s="5" t="s">
        <v>11</v>
      </c>
      <c r="C9" s="17"/>
      <c r="D9" s="22">
        <v>64</v>
      </c>
      <c r="E9" s="22"/>
      <c r="F9" s="18">
        <v>57</v>
      </c>
      <c r="H9" s="71">
        <v>52</v>
      </c>
      <c r="I9" s="71"/>
      <c r="J9" s="71">
        <v>53</v>
      </c>
      <c r="L9" s="71">
        <v>52</v>
      </c>
      <c r="N9" s="71">
        <v>42</v>
      </c>
      <c r="O9" s="106">
        <v>38</v>
      </c>
      <c r="P9" s="71">
        <v>42</v>
      </c>
      <c r="Q9" s="71"/>
      <c r="R9" s="18">
        <v>38</v>
      </c>
      <c r="S9" s="71">
        <v>39</v>
      </c>
      <c r="T9" s="71">
        <v>40</v>
      </c>
      <c r="U9" s="71">
        <v>40</v>
      </c>
      <c r="V9" s="71">
        <v>39</v>
      </c>
      <c r="X9" s="18">
        <v>38</v>
      </c>
      <c r="Y9" s="71">
        <v>38</v>
      </c>
      <c r="Z9" s="71">
        <v>0</v>
      </c>
      <c r="AA9" s="71">
        <v>0</v>
      </c>
      <c r="AB9" s="71">
        <v>38</v>
      </c>
    </row>
    <row r="10" spans="1:28" s="12" customFormat="1" x14ac:dyDescent="0.25">
      <c r="B10" s="5" t="s">
        <v>12</v>
      </c>
      <c r="C10" s="17"/>
      <c r="D10" s="22">
        <v>34</v>
      </c>
      <c r="E10" s="22"/>
      <c r="F10" s="18">
        <v>29</v>
      </c>
      <c r="H10" s="71">
        <v>27</v>
      </c>
      <c r="I10" s="71"/>
      <c r="J10" s="71">
        <v>25</v>
      </c>
      <c r="L10" s="71">
        <v>24</v>
      </c>
      <c r="N10" s="71">
        <v>25</v>
      </c>
      <c r="O10" s="106">
        <v>23</v>
      </c>
      <c r="P10" s="71">
        <v>24</v>
      </c>
      <c r="Q10" s="51"/>
      <c r="R10" s="18">
        <v>20</v>
      </c>
      <c r="S10" s="71">
        <v>19</v>
      </c>
      <c r="T10" s="71">
        <v>19</v>
      </c>
      <c r="U10" s="71">
        <v>18</v>
      </c>
      <c r="V10" s="71">
        <v>19</v>
      </c>
      <c r="X10" s="18">
        <v>18</v>
      </c>
      <c r="Y10" s="71">
        <v>16</v>
      </c>
      <c r="Z10" s="71">
        <v>0</v>
      </c>
      <c r="AA10" s="71">
        <v>0</v>
      </c>
      <c r="AB10" s="71">
        <v>17</v>
      </c>
    </row>
    <row r="11" spans="1:28" s="12" customFormat="1" x14ac:dyDescent="0.25">
      <c r="B11" s="5" t="s">
        <v>13</v>
      </c>
      <c r="C11" s="17"/>
      <c r="D11" s="22">
        <v>6</v>
      </c>
      <c r="E11" s="22"/>
      <c r="F11" s="18">
        <v>5</v>
      </c>
      <c r="H11" s="71">
        <v>4</v>
      </c>
      <c r="I11" s="71"/>
      <c r="J11" s="71">
        <v>4</v>
      </c>
      <c r="L11" s="71">
        <v>4</v>
      </c>
      <c r="N11" s="71">
        <v>3</v>
      </c>
      <c r="O11" s="106">
        <v>2</v>
      </c>
      <c r="P11" s="71">
        <v>3</v>
      </c>
      <c r="Q11" s="51"/>
      <c r="R11" s="18">
        <v>2</v>
      </c>
      <c r="S11" s="71">
        <v>3</v>
      </c>
      <c r="T11" s="71">
        <v>3</v>
      </c>
      <c r="U11" s="71">
        <v>1</v>
      </c>
      <c r="V11" s="71">
        <v>2</v>
      </c>
      <c r="X11" s="18">
        <v>0</v>
      </c>
      <c r="Y11" s="71">
        <v>0</v>
      </c>
      <c r="Z11" s="71">
        <v>0</v>
      </c>
      <c r="AA11" s="71">
        <v>0</v>
      </c>
      <c r="AB11" s="71">
        <v>0</v>
      </c>
    </row>
    <row r="12" spans="1:28" s="12" customFormat="1" x14ac:dyDescent="0.25">
      <c r="B12" s="5" t="s">
        <v>15</v>
      </c>
      <c r="C12" s="17"/>
      <c r="D12" s="19">
        <f>SUM(D9:D11)</f>
        <v>104</v>
      </c>
      <c r="E12" s="52"/>
      <c r="F12" s="19">
        <f>SUM(F9:F11)</f>
        <v>91</v>
      </c>
      <c r="G12"/>
      <c r="H12" s="75">
        <f>SUM(H9:H11)</f>
        <v>83</v>
      </c>
      <c r="I12" s="71"/>
      <c r="J12" s="19">
        <f>SUM(J9:J11)</f>
        <v>82</v>
      </c>
      <c r="K12" s="32"/>
      <c r="L12" s="75">
        <f>SUM(L9:L11)</f>
        <v>80</v>
      </c>
      <c r="N12" s="75">
        <f t="shared" ref="N12:O12" si="0">SUM(N9:N11)</f>
        <v>70</v>
      </c>
      <c r="O12" s="107">
        <f t="shared" si="0"/>
        <v>63</v>
      </c>
      <c r="P12" s="75">
        <f>SUM(P9:P11)</f>
        <v>69</v>
      </c>
      <c r="Q12" s="51"/>
      <c r="R12" s="19">
        <f>SUM(R9:R11)</f>
        <v>60</v>
      </c>
      <c r="S12" s="19">
        <f>SUM(S9:S11)</f>
        <v>61</v>
      </c>
      <c r="T12" s="75">
        <f>SUM(T9:T11)</f>
        <v>62</v>
      </c>
      <c r="U12" s="75">
        <f>SUM(U9:U11)</f>
        <v>59</v>
      </c>
      <c r="V12" s="75">
        <f>SUM(V9:V11)</f>
        <v>60</v>
      </c>
      <c r="X12" s="19">
        <f>SUM(X9:X11)</f>
        <v>56</v>
      </c>
      <c r="Y12" s="19">
        <f>SUM(Y9:Y11)</f>
        <v>54</v>
      </c>
      <c r="Z12" s="75">
        <f>SUM(Z9:Z11)</f>
        <v>0</v>
      </c>
      <c r="AA12" s="75">
        <f>SUM(AA9:AA11)</f>
        <v>0</v>
      </c>
      <c r="AB12" s="75">
        <f>SUM(AB9:AB11)</f>
        <v>55</v>
      </c>
    </row>
    <row r="13" spans="1:28" s="12" customFormat="1" x14ac:dyDescent="0.25">
      <c r="B13" s="20"/>
      <c r="C13" s="8"/>
      <c r="D13" s="22"/>
      <c r="E13" s="22"/>
      <c r="F13" s="32"/>
      <c r="H13" s="76"/>
      <c r="I13" s="76"/>
      <c r="J13" s="76"/>
      <c r="L13" s="76"/>
      <c r="N13" s="76"/>
      <c r="O13" s="108"/>
      <c r="P13" s="76"/>
      <c r="Q13" s="51"/>
      <c r="R13" s="32"/>
      <c r="S13" s="32"/>
      <c r="T13" s="76"/>
      <c r="U13" s="76"/>
      <c r="V13" s="76"/>
      <c r="X13" s="32"/>
      <c r="Y13" s="32"/>
      <c r="Z13" s="76"/>
      <c r="AA13" s="76"/>
      <c r="AB13" s="76"/>
    </row>
    <row r="14" spans="1:28" s="12" customFormat="1" ht="13" x14ac:dyDescent="0.3">
      <c r="B14" s="37" t="s">
        <v>9</v>
      </c>
      <c r="C14" s="17"/>
      <c r="D14" s="22"/>
      <c r="E14" s="22"/>
      <c r="F14" s="32"/>
      <c r="H14" s="76"/>
      <c r="I14" s="76"/>
      <c r="J14" s="76"/>
      <c r="L14" s="76"/>
      <c r="N14" s="76"/>
      <c r="O14" s="108"/>
      <c r="P14" s="76"/>
      <c r="Q14" s="51"/>
      <c r="R14" s="32"/>
      <c r="S14" s="32"/>
      <c r="T14" s="76"/>
      <c r="U14" s="76"/>
      <c r="V14" s="76"/>
      <c r="X14" s="32"/>
      <c r="Y14" s="32"/>
      <c r="Z14" s="76"/>
      <c r="AA14" s="76"/>
      <c r="AB14" s="76"/>
    </row>
    <row r="15" spans="1:28" s="12" customFormat="1" x14ac:dyDescent="0.25">
      <c r="B15" s="5" t="s">
        <v>11</v>
      </c>
      <c r="C15" s="17"/>
      <c r="D15" s="22">
        <v>17</v>
      </c>
      <c r="E15" s="22"/>
      <c r="F15" s="18">
        <v>15</v>
      </c>
      <c r="H15" s="71">
        <v>15</v>
      </c>
      <c r="I15" s="71"/>
      <c r="J15" s="71">
        <v>15</v>
      </c>
      <c r="L15" s="71">
        <v>15</v>
      </c>
      <c r="N15" s="71">
        <v>13</v>
      </c>
      <c r="O15" s="106">
        <v>12</v>
      </c>
      <c r="P15" s="71">
        <v>13</v>
      </c>
      <c r="Q15" s="51"/>
      <c r="R15" s="18">
        <v>12</v>
      </c>
      <c r="S15" s="18">
        <v>13</v>
      </c>
      <c r="T15" s="71">
        <v>13</v>
      </c>
      <c r="U15" s="71">
        <v>12</v>
      </c>
      <c r="V15" s="71">
        <v>13</v>
      </c>
      <c r="X15" s="18">
        <v>9</v>
      </c>
      <c r="Y15" s="18">
        <v>12</v>
      </c>
      <c r="Z15" s="71">
        <v>0</v>
      </c>
      <c r="AA15" s="71">
        <v>0</v>
      </c>
      <c r="AB15" s="71">
        <v>11</v>
      </c>
    </row>
    <row r="16" spans="1:28" s="12" customFormat="1" x14ac:dyDescent="0.25">
      <c r="B16" s="5" t="s">
        <v>13</v>
      </c>
      <c r="C16" s="17"/>
      <c r="D16" s="22">
        <v>1</v>
      </c>
      <c r="E16" s="22"/>
      <c r="F16" s="18">
        <v>1</v>
      </c>
      <c r="H16" s="71">
        <v>1</v>
      </c>
      <c r="I16" s="71"/>
      <c r="J16" s="71">
        <v>1</v>
      </c>
      <c r="L16" s="71">
        <v>0</v>
      </c>
      <c r="N16" s="71"/>
      <c r="O16" s="106"/>
      <c r="P16" s="71">
        <v>0</v>
      </c>
      <c r="Q16" s="51"/>
      <c r="R16" s="18">
        <v>0</v>
      </c>
      <c r="S16" s="18">
        <v>0</v>
      </c>
      <c r="T16" s="71">
        <v>0</v>
      </c>
      <c r="U16" s="71">
        <v>0</v>
      </c>
      <c r="V16" s="71">
        <v>0</v>
      </c>
      <c r="X16" s="18">
        <v>0</v>
      </c>
      <c r="Y16" s="18">
        <v>0</v>
      </c>
      <c r="Z16" s="71">
        <v>0</v>
      </c>
      <c r="AA16" s="71">
        <v>0</v>
      </c>
      <c r="AB16" s="71">
        <v>0</v>
      </c>
    </row>
    <row r="17" spans="2:28" s="12" customFormat="1" x14ac:dyDescent="0.25">
      <c r="B17" s="5" t="s">
        <v>15</v>
      </c>
      <c r="C17" s="17"/>
      <c r="D17" s="21">
        <f>SUM(D15:D16)</f>
        <v>18</v>
      </c>
      <c r="E17" s="52"/>
      <c r="F17" s="21">
        <f>SUM(F15:F16)</f>
        <v>16</v>
      </c>
      <c r="G17"/>
      <c r="H17" s="77">
        <f>SUM(H15:H16)</f>
        <v>16</v>
      </c>
      <c r="I17" s="80"/>
      <c r="J17" s="21">
        <f>SUM(J15:J16)</f>
        <v>16</v>
      </c>
      <c r="L17" s="77">
        <f>SUM(L15:L16)</f>
        <v>15</v>
      </c>
      <c r="N17" s="77">
        <f t="shared" ref="N17:O17" si="1">SUM(N15:N16)</f>
        <v>13</v>
      </c>
      <c r="O17" s="109">
        <f t="shared" si="1"/>
        <v>12</v>
      </c>
      <c r="P17" s="77">
        <f>SUM(P15:P16)</f>
        <v>13</v>
      </c>
      <c r="Q17" s="51"/>
      <c r="R17" s="21">
        <f>SUM(R15:R16)</f>
        <v>12</v>
      </c>
      <c r="S17" s="21">
        <f>SUM(S15:S16)</f>
        <v>13</v>
      </c>
      <c r="T17" s="77">
        <f>SUM(T15:T16)</f>
        <v>13</v>
      </c>
      <c r="U17" s="77">
        <f>SUM(U15:U16)</f>
        <v>12</v>
      </c>
      <c r="V17" s="77">
        <f>SUM(V15:V16)</f>
        <v>13</v>
      </c>
      <c r="X17" s="21">
        <f>SUM(X15:X16)</f>
        <v>9</v>
      </c>
      <c r="Y17" s="21">
        <f>SUM(Y15:Y16)</f>
        <v>12</v>
      </c>
      <c r="Z17" s="77">
        <f>SUM(Z15:Z16)</f>
        <v>0</v>
      </c>
      <c r="AA17" s="77">
        <f>SUM(AA15:AA16)</f>
        <v>0</v>
      </c>
      <c r="AB17" s="77">
        <f>SUM(AB15:AB16)</f>
        <v>11</v>
      </c>
    </row>
    <row r="18" spans="2:28" s="12" customFormat="1" x14ac:dyDescent="0.25">
      <c r="B18" s="20"/>
      <c r="C18" s="8"/>
      <c r="D18" s="22"/>
      <c r="E18" s="22"/>
      <c r="F18" s="32"/>
      <c r="H18" s="76"/>
      <c r="I18" s="76"/>
      <c r="J18" s="76"/>
      <c r="L18" s="76"/>
      <c r="N18" s="76"/>
      <c r="O18" s="108"/>
      <c r="P18" s="76"/>
      <c r="Q18" s="51"/>
      <c r="R18" s="32"/>
      <c r="S18" s="32"/>
      <c r="T18" s="76"/>
      <c r="U18" s="76"/>
      <c r="V18" s="76"/>
      <c r="X18" s="32"/>
      <c r="Y18" s="32"/>
      <c r="Z18" s="76"/>
      <c r="AA18" s="76"/>
      <c r="AB18" s="76"/>
    </row>
    <row r="19" spans="2:28" s="12" customFormat="1" ht="13" x14ac:dyDescent="0.3">
      <c r="B19" s="38" t="s">
        <v>10</v>
      </c>
      <c r="C19"/>
      <c r="D19" s="22"/>
      <c r="E19" s="22"/>
      <c r="F19" s="32"/>
      <c r="H19" s="76"/>
      <c r="I19" s="76"/>
      <c r="J19" s="76"/>
      <c r="L19" s="76"/>
      <c r="N19" s="76"/>
      <c r="O19" s="108"/>
      <c r="P19" s="76"/>
      <c r="Q19" s="51"/>
      <c r="R19" s="32"/>
      <c r="S19" s="32"/>
      <c r="T19" s="76"/>
      <c r="U19" s="76"/>
      <c r="V19" s="76"/>
      <c r="X19" s="32"/>
      <c r="Y19" s="32"/>
      <c r="Z19" s="76"/>
      <c r="AA19" s="76"/>
      <c r="AB19" s="76"/>
    </row>
    <row r="20" spans="2:28" s="12" customFormat="1" x14ac:dyDescent="0.25">
      <c r="B20" s="5" t="s">
        <v>11</v>
      </c>
      <c r="C20" s="22"/>
      <c r="D20" s="22">
        <v>172</v>
      </c>
      <c r="E20" s="22"/>
      <c r="F20" s="18">
        <v>150</v>
      </c>
      <c r="H20" s="71">
        <v>140</v>
      </c>
      <c r="I20" s="71"/>
      <c r="J20" s="71">
        <v>165</v>
      </c>
      <c r="L20" s="71">
        <v>162</v>
      </c>
      <c r="N20" s="71">
        <v>147</v>
      </c>
      <c r="O20" s="106">
        <v>138</v>
      </c>
      <c r="P20" s="71">
        <v>145</v>
      </c>
      <c r="Q20" s="51"/>
      <c r="R20" s="18">
        <v>135</v>
      </c>
      <c r="S20" s="18">
        <v>135</v>
      </c>
      <c r="T20" s="71">
        <v>135</v>
      </c>
      <c r="U20" s="71">
        <v>131</v>
      </c>
      <c r="V20" s="71">
        <v>135</v>
      </c>
      <c r="X20" s="18">
        <v>121</v>
      </c>
      <c r="Y20" s="18">
        <v>132</v>
      </c>
      <c r="Z20" s="71">
        <v>0</v>
      </c>
      <c r="AA20" s="71">
        <v>0</v>
      </c>
      <c r="AB20" s="71">
        <v>127</v>
      </c>
    </row>
    <row r="21" spans="2:28" s="12" customFormat="1" x14ac:dyDescent="0.25">
      <c r="B21" s="5" t="s">
        <v>12</v>
      </c>
      <c r="C21"/>
      <c r="D21" s="22">
        <v>2</v>
      </c>
      <c r="E21" s="22"/>
      <c r="F21" s="18">
        <v>3</v>
      </c>
      <c r="H21" s="71">
        <v>1</v>
      </c>
      <c r="I21" s="71"/>
      <c r="J21" s="71">
        <v>1</v>
      </c>
      <c r="L21" s="71">
        <v>2</v>
      </c>
      <c r="N21" s="71">
        <v>2</v>
      </c>
      <c r="O21" s="106">
        <v>1</v>
      </c>
      <c r="P21" s="71">
        <v>2</v>
      </c>
      <c r="Q21" s="51"/>
      <c r="R21" s="18">
        <v>1</v>
      </c>
      <c r="S21" s="18">
        <v>1</v>
      </c>
      <c r="T21" s="71">
        <v>1</v>
      </c>
      <c r="U21" s="71">
        <v>1</v>
      </c>
      <c r="V21" s="71">
        <v>1</v>
      </c>
      <c r="X21" s="18">
        <v>1</v>
      </c>
      <c r="Y21" s="18">
        <v>1</v>
      </c>
      <c r="Z21" s="71">
        <v>0</v>
      </c>
      <c r="AA21" s="71">
        <v>0</v>
      </c>
      <c r="AB21" s="71">
        <v>1</v>
      </c>
    </row>
    <row r="22" spans="2:28" s="12" customFormat="1" x14ac:dyDescent="0.25">
      <c r="B22" s="5" t="s">
        <v>13</v>
      </c>
      <c r="C22"/>
      <c r="D22" s="22">
        <v>11</v>
      </c>
      <c r="E22" s="22"/>
      <c r="F22" s="18">
        <v>8</v>
      </c>
      <c r="H22" s="71">
        <v>8</v>
      </c>
      <c r="I22" s="71"/>
      <c r="J22" s="71">
        <v>7</v>
      </c>
      <c r="L22" s="71">
        <v>5</v>
      </c>
      <c r="N22" s="71">
        <v>4</v>
      </c>
      <c r="O22" s="106">
        <v>3</v>
      </c>
      <c r="P22" s="71">
        <v>4</v>
      </c>
      <c r="Q22" s="51"/>
      <c r="R22" s="18">
        <v>4</v>
      </c>
      <c r="S22" s="18">
        <v>5</v>
      </c>
      <c r="T22" s="71">
        <v>5</v>
      </c>
      <c r="U22" s="71">
        <v>2</v>
      </c>
      <c r="V22" s="71">
        <v>4</v>
      </c>
      <c r="X22" s="18">
        <v>0</v>
      </c>
      <c r="Y22" s="18">
        <v>0</v>
      </c>
      <c r="Z22" s="71">
        <v>0</v>
      </c>
      <c r="AA22" s="71">
        <v>0</v>
      </c>
      <c r="AB22" s="71">
        <v>0</v>
      </c>
    </row>
    <row r="23" spans="2:28" s="12" customFormat="1" x14ac:dyDescent="0.25">
      <c r="B23" s="5" t="s">
        <v>14</v>
      </c>
      <c r="C23"/>
      <c r="D23" s="22">
        <v>44</v>
      </c>
      <c r="E23" s="22"/>
      <c r="F23" s="18">
        <v>36</v>
      </c>
      <c r="H23" s="71">
        <v>33</v>
      </c>
      <c r="I23" s="71"/>
      <c r="J23" s="71">
        <v>29</v>
      </c>
      <c r="L23" s="71">
        <v>28</v>
      </c>
      <c r="N23" s="71">
        <v>21</v>
      </c>
      <c r="O23" s="106">
        <v>23</v>
      </c>
      <c r="P23" s="71">
        <v>21</v>
      </c>
      <c r="Q23" s="51"/>
      <c r="R23" s="18">
        <v>20</v>
      </c>
      <c r="S23" s="18">
        <v>20</v>
      </c>
      <c r="T23" s="71">
        <v>19</v>
      </c>
      <c r="U23" s="71">
        <v>19</v>
      </c>
      <c r="V23" s="71">
        <v>19</v>
      </c>
      <c r="X23" s="18">
        <v>19</v>
      </c>
      <c r="Y23" s="18">
        <v>18</v>
      </c>
      <c r="Z23" s="71">
        <v>0</v>
      </c>
      <c r="AA23" s="71">
        <v>0</v>
      </c>
      <c r="AB23" s="71">
        <v>18</v>
      </c>
    </row>
    <row r="24" spans="2:28" s="12" customFormat="1" x14ac:dyDescent="0.25">
      <c r="B24" s="5" t="s">
        <v>15</v>
      </c>
      <c r="C24"/>
      <c r="D24" s="21">
        <f>SUM(D20:D23)</f>
        <v>229</v>
      </c>
      <c r="E24" s="52"/>
      <c r="F24" s="21">
        <f>SUM(F20:F23)</f>
        <v>197</v>
      </c>
      <c r="G24"/>
      <c r="H24" s="77">
        <f>SUM(H20:H23)</f>
        <v>182</v>
      </c>
      <c r="I24" s="80"/>
      <c r="J24" s="21">
        <f>SUM(J20:J23)</f>
        <v>202</v>
      </c>
      <c r="L24" s="77">
        <f>SUM(L20:L23)</f>
        <v>197</v>
      </c>
      <c r="N24" s="77">
        <f t="shared" ref="N24:O24" si="2">SUM(N20:N23)</f>
        <v>174</v>
      </c>
      <c r="O24" s="109">
        <f t="shared" si="2"/>
        <v>165</v>
      </c>
      <c r="P24" s="77">
        <f>SUM(P20:P23)</f>
        <v>172</v>
      </c>
      <c r="Q24" s="80"/>
      <c r="R24" s="21">
        <f>SUM(R20:R23)</f>
        <v>160</v>
      </c>
      <c r="S24" s="21">
        <f>SUM(S20:S23)</f>
        <v>161</v>
      </c>
      <c r="T24" s="77">
        <f>SUM(T20:T23)</f>
        <v>160</v>
      </c>
      <c r="U24" s="77">
        <f>SUM(U20:U23)</f>
        <v>153</v>
      </c>
      <c r="V24" s="77">
        <f>SUM(V20:V23)</f>
        <v>159</v>
      </c>
      <c r="X24" s="21">
        <f>SUM(X20:X23)</f>
        <v>141</v>
      </c>
      <c r="Y24" s="21">
        <f>SUM(Y20:Y23)</f>
        <v>151</v>
      </c>
      <c r="Z24" s="77">
        <f>SUM(Z20:Z23)</f>
        <v>0</v>
      </c>
      <c r="AA24" s="77">
        <f>SUM(AA20:AA23)</f>
        <v>0</v>
      </c>
      <c r="AB24" s="77">
        <f>SUM(AB20:AB23)</f>
        <v>146</v>
      </c>
    </row>
    <row r="25" spans="2:28" s="12" customFormat="1" x14ac:dyDescent="0.25">
      <c r="B25"/>
      <c r="C25"/>
      <c r="D25" s="22"/>
      <c r="E25" s="22"/>
      <c r="F25" s="32"/>
      <c r="H25" s="76"/>
      <c r="I25" s="76"/>
      <c r="J25" s="76"/>
      <c r="L25" s="76"/>
      <c r="N25" s="76"/>
      <c r="O25" s="108"/>
      <c r="P25" s="76"/>
      <c r="Q25" s="51"/>
      <c r="R25" s="32"/>
      <c r="S25" s="32"/>
      <c r="T25" s="76"/>
      <c r="U25" s="76"/>
      <c r="V25" s="76"/>
      <c r="X25" s="32"/>
      <c r="Y25" s="32"/>
      <c r="Z25" s="76"/>
      <c r="AA25" s="76"/>
      <c r="AB25" s="76"/>
    </row>
    <row r="26" spans="2:28" s="12" customFormat="1" ht="15.5" thickBot="1" x14ac:dyDescent="0.35">
      <c r="B26" s="23" t="s">
        <v>30</v>
      </c>
      <c r="C26"/>
      <c r="D26" s="61">
        <f>D12+D17+(D24/6)</f>
        <v>160.16666666666666</v>
      </c>
      <c r="E26" s="52"/>
      <c r="F26" s="61">
        <f>F12+F17+(F24/6)</f>
        <v>139.83333333333334</v>
      </c>
      <c r="G26"/>
      <c r="H26" s="78">
        <f>H12+H17+(H24/6)</f>
        <v>129.33333333333334</v>
      </c>
      <c r="I26" s="80"/>
      <c r="J26" s="61">
        <f>J12+J17+(J24/6)</f>
        <v>131.66666666666666</v>
      </c>
      <c r="L26" s="78">
        <f>L12+L17+(L24/6)</f>
        <v>127.83333333333334</v>
      </c>
      <c r="N26" s="78">
        <f t="shared" ref="N26:O26" si="3">N12+N17+(N24/6)</f>
        <v>112</v>
      </c>
      <c r="O26" s="110">
        <f t="shared" si="3"/>
        <v>102.5</v>
      </c>
      <c r="P26" s="78">
        <f>P12+P17+(P24/6)</f>
        <v>110.66666666666667</v>
      </c>
      <c r="Q26" s="76"/>
      <c r="R26" s="61">
        <f>R12+R17+(R24/6)</f>
        <v>98.666666666666671</v>
      </c>
      <c r="S26" s="61">
        <f>S12+S17+(S24/6)</f>
        <v>100.83333333333333</v>
      </c>
      <c r="T26" s="78">
        <f>T12+T17+(T24/6)</f>
        <v>101.66666666666667</v>
      </c>
      <c r="U26" s="78">
        <f>U12+U17+(U24/6)</f>
        <v>96.5</v>
      </c>
      <c r="V26" s="78">
        <f>V12+V17+(V24/6)</f>
        <v>99.5</v>
      </c>
      <c r="X26" s="61">
        <f>X12+X17+(X24/6)-1</f>
        <v>87.5</v>
      </c>
      <c r="Y26" s="61">
        <f>Y12+Y17+(Y24/6)</f>
        <v>91.166666666666671</v>
      </c>
      <c r="Z26" s="78">
        <f>Z12+Z17+(Z24/6)</f>
        <v>0</v>
      </c>
      <c r="AA26" s="78">
        <f>AA12+AA17+(AA24/6)</f>
        <v>0</v>
      </c>
      <c r="AB26" s="78">
        <f>AB12+AB17+(AB24/6)</f>
        <v>90.333333333333329</v>
      </c>
    </row>
    <row r="27" spans="2:28" s="12" customFormat="1" ht="13.5" thickTop="1" x14ac:dyDescent="0.3">
      <c r="B27" s="23"/>
      <c r="C27"/>
      <c r="D27" s="16"/>
      <c r="E27" s="52"/>
      <c r="F27" s="16"/>
      <c r="G27"/>
      <c r="H27" s="80"/>
      <c r="I27" s="80"/>
      <c r="J27" s="80"/>
      <c r="L27" s="80"/>
      <c r="N27" s="80"/>
      <c r="O27" s="111"/>
      <c r="P27" s="71"/>
      <c r="Q27" s="51"/>
    </row>
    <row r="28" spans="2:28" x14ac:dyDescent="0.25">
      <c r="Q28" s="36"/>
    </row>
    <row r="29" spans="2:28" x14ac:dyDescent="0.25">
      <c r="B29" s="79" t="s">
        <v>33</v>
      </c>
      <c r="Q29" s="36"/>
    </row>
    <row r="30" spans="2:28" ht="4.1500000000000004" customHeight="1" x14ac:dyDescent="0.25">
      <c r="B30" s="79"/>
      <c r="Q30" s="36"/>
    </row>
    <row r="31" spans="2:28" x14ac:dyDescent="0.25">
      <c r="B31" s="79" t="s">
        <v>31</v>
      </c>
      <c r="Q31" s="36"/>
    </row>
    <row r="32" spans="2:28" x14ac:dyDescent="0.25">
      <c r="B32" s="79" t="s">
        <v>32</v>
      </c>
      <c r="Q32" s="36"/>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heetViews>
  <sheetFormatPr defaultRowHeight="12.5" x14ac:dyDescent="0.25"/>
  <cols>
    <col min="1" max="1" width="4" customWidth="1"/>
    <col min="2" max="2" width="13.81640625" customWidth="1"/>
    <col min="3" max="3" width="37.81640625" customWidth="1"/>
    <col min="4" max="4" width="12.453125" bestFit="1" customWidth="1"/>
    <col min="5" max="5" width="2.1796875" customWidth="1"/>
    <col min="6" max="6" width="12" bestFit="1" customWidth="1"/>
    <col min="7" max="7" width="2.453125" customWidth="1"/>
    <col min="8" max="8" width="11.453125" customWidth="1"/>
    <col min="9" max="9" width="2.453125" customWidth="1"/>
    <col min="10" max="10" width="11.453125" customWidth="1"/>
    <col min="11" max="11" width="1.54296875" customWidth="1"/>
    <col min="12" max="12" width="9.1796875" customWidth="1"/>
  </cols>
  <sheetData>
    <row r="2" spans="2:12" ht="18" x14ac:dyDescent="0.4">
      <c r="B2" s="24" t="s">
        <v>0</v>
      </c>
    </row>
    <row r="3" spans="2:12" ht="14.25" customHeight="1" x14ac:dyDescent="0.4">
      <c r="B3" s="24"/>
    </row>
    <row r="5" spans="2:12" ht="16" thickBot="1" x14ac:dyDescent="0.4">
      <c r="B5" s="26" t="s">
        <v>2</v>
      </c>
      <c r="C5" s="27"/>
      <c r="D5" s="27"/>
      <c r="E5" s="27"/>
      <c r="F5" s="27"/>
      <c r="G5" s="27"/>
      <c r="H5" s="27"/>
      <c r="I5" s="28"/>
      <c r="J5" s="28"/>
      <c r="K5" s="28"/>
      <c r="L5" s="28"/>
    </row>
    <row r="6" spans="2:12" ht="5.25" customHeight="1" thickTop="1" x14ac:dyDescent="0.25"/>
    <row r="7" spans="2:12" s="30" customFormat="1" ht="13" x14ac:dyDescent="0.3">
      <c r="D7" s="40" t="s">
        <v>3</v>
      </c>
      <c r="E7" s="40"/>
      <c r="F7" s="40" t="s">
        <v>5</v>
      </c>
      <c r="G7" s="40"/>
      <c r="H7" s="40" t="s">
        <v>6</v>
      </c>
      <c r="I7" s="40"/>
      <c r="J7" s="40" t="s">
        <v>7</v>
      </c>
      <c r="K7" s="40"/>
      <c r="L7" s="40"/>
    </row>
    <row r="8" spans="2:12" s="30" customFormat="1" ht="13" x14ac:dyDescent="0.3">
      <c r="D8" s="33" t="s">
        <v>4</v>
      </c>
      <c r="E8" s="40"/>
      <c r="F8" s="33" t="s">
        <v>4</v>
      </c>
      <c r="G8" s="40"/>
      <c r="H8" s="33" t="s">
        <v>4</v>
      </c>
      <c r="I8" s="40"/>
      <c r="J8" s="33" t="s">
        <v>4</v>
      </c>
      <c r="K8" s="40"/>
      <c r="L8" s="33" t="s">
        <v>1</v>
      </c>
    </row>
    <row r="9" spans="2:12" s="30" customFormat="1" x14ac:dyDescent="0.25"/>
    <row r="10" spans="2:12" s="30" customFormat="1" ht="13" x14ac:dyDescent="0.3">
      <c r="B10" s="89" t="s">
        <v>86</v>
      </c>
      <c r="C10" s="59"/>
    </row>
    <row r="11" spans="2:12" s="30" customFormat="1" ht="13" x14ac:dyDescent="0.3">
      <c r="B11" s="11" t="s">
        <v>38</v>
      </c>
    </row>
    <row r="12" spans="2:12" s="30" customFormat="1" x14ac:dyDescent="0.25">
      <c r="B12" t="s">
        <v>17</v>
      </c>
      <c r="D12" s="41">
        <v>171</v>
      </c>
      <c r="E12" s="41"/>
      <c r="F12" s="41">
        <v>109</v>
      </c>
      <c r="G12" s="41"/>
      <c r="H12" s="41">
        <v>2</v>
      </c>
      <c r="I12" s="41"/>
      <c r="J12" s="18">
        <v>0</v>
      </c>
      <c r="K12" s="41"/>
      <c r="L12" s="41">
        <f>SUM(D12:K12)</f>
        <v>282</v>
      </c>
    </row>
    <row r="13" spans="2:12" s="30" customFormat="1" x14ac:dyDescent="0.25">
      <c r="B13" s="12" t="s">
        <v>18</v>
      </c>
      <c r="D13" s="41">
        <v>32</v>
      </c>
      <c r="E13" s="41"/>
      <c r="F13" s="41">
        <v>29</v>
      </c>
      <c r="G13" s="41"/>
      <c r="H13" s="41">
        <v>0</v>
      </c>
      <c r="I13" s="41"/>
      <c r="J13" s="18">
        <v>0</v>
      </c>
      <c r="K13" s="41"/>
      <c r="L13" s="41">
        <f>SUM(D13:K13)</f>
        <v>61</v>
      </c>
    </row>
    <row r="14" spans="2:12" s="30" customFormat="1" x14ac:dyDescent="0.25">
      <c r="B14" s="53" t="s">
        <v>16</v>
      </c>
      <c r="D14" s="54">
        <f>+D13+D12</f>
        <v>203</v>
      </c>
      <c r="E14" s="41"/>
      <c r="F14" s="54">
        <f>+F13+F12</f>
        <v>138</v>
      </c>
      <c r="G14" s="41"/>
      <c r="H14" s="54">
        <f>+H13+H12</f>
        <v>2</v>
      </c>
      <c r="I14" s="41"/>
      <c r="J14" s="54">
        <f>+J13+J12</f>
        <v>0</v>
      </c>
      <c r="K14" s="41"/>
      <c r="L14" s="54">
        <f>+L13+L12</f>
        <v>343</v>
      </c>
    </row>
    <row r="15" spans="2:12" s="30" customFormat="1" x14ac:dyDescent="0.25">
      <c r="D15" s="42"/>
      <c r="E15" s="42"/>
      <c r="F15" s="42"/>
      <c r="G15" s="42"/>
      <c r="H15" s="42"/>
      <c r="I15" s="42"/>
      <c r="J15" s="42"/>
      <c r="K15" s="42"/>
      <c r="L15"/>
    </row>
    <row r="16" spans="2:12" s="30" customFormat="1" ht="13" x14ac:dyDescent="0.3">
      <c r="B16" s="11" t="s">
        <v>39</v>
      </c>
      <c r="D16" s="42"/>
      <c r="E16" s="42"/>
      <c r="F16" s="42"/>
      <c r="G16" s="42"/>
      <c r="H16" s="42"/>
      <c r="I16" s="42"/>
      <c r="J16" s="42"/>
      <c r="K16" s="42"/>
      <c r="L16" s="42"/>
    </row>
    <row r="17" spans="2:13" s="30" customFormat="1" x14ac:dyDescent="0.25">
      <c r="B17" t="s">
        <v>17</v>
      </c>
      <c r="D17" s="41">
        <v>38</v>
      </c>
      <c r="E17" s="41"/>
      <c r="F17" s="41">
        <v>0</v>
      </c>
      <c r="G17" s="41"/>
      <c r="H17" s="41">
        <v>0</v>
      </c>
      <c r="I17" s="41"/>
      <c r="J17" s="18">
        <v>0</v>
      </c>
      <c r="K17" s="41"/>
      <c r="L17" s="41">
        <f>SUM(D17:K17)</f>
        <v>38</v>
      </c>
    </row>
    <row r="18" spans="2:13" s="30" customFormat="1" x14ac:dyDescent="0.25">
      <c r="B18" s="12" t="s">
        <v>18</v>
      </c>
      <c r="D18" s="41">
        <v>3</v>
      </c>
      <c r="E18" s="41"/>
      <c r="F18" s="41">
        <v>0</v>
      </c>
      <c r="G18" s="41"/>
      <c r="H18" s="41">
        <v>0</v>
      </c>
      <c r="I18" s="41"/>
      <c r="J18" s="18">
        <v>0</v>
      </c>
      <c r="K18" s="41"/>
      <c r="L18" s="41">
        <f>SUM(D18:K18)</f>
        <v>3</v>
      </c>
    </row>
    <row r="19" spans="2:13" s="30" customFormat="1" x14ac:dyDescent="0.25">
      <c r="B19" s="53" t="s">
        <v>16</v>
      </c>
      <c r="D19" s="54">
        <f>+D18+D17</f>
        <v>41</v>
      </c>
      <c r="E19" s="41"/>
      <c r="F19" s="54">
        <f>+F18+F17</f>
        <v>0</v>
      </c>
      <c r="G19" s="41"/>
      <c r="H19" s="54">
        <f>+H18+H17</f>
        <v>0</v>
      </c>
      <c r="I19" s="41"/>
      <c r="J19" s="54">
        <f>+J18+J17</f>
        <v>0</v>
      </c>
      <c r="K19" s="41"/>
      <c r="L19" s="54">
        <f>+L18+L17</f>
        <v>41</v>
      </c>
    </row>
    <row r="20" spans="2:13" s="30" customFormat="1" x14ac:dyDescent="0.25">
      <c r="D20" s="41"/>
      <c r="E20" s="41"/>
      <c r="F20" s="41"/>
      <c r="G20" s="41"/>
      <c r="H20" s="41"/>
      <c r="I20" s="41"/>
      <c r="J20" s="18"/>
      <c r="K20" s="41"/>
      <c r="L20"/>
    </row>
    <row r="21" spans="2:13" s="30" customFormat="1" ht="13" x14ac:dyDescent="0.3">
      <c r="B21" s="11" t="s">
        <v>40</v>
      </c>
      <c r="D21" s="41"/>
      <c r="E21" s="41"/>
      <c r="F21" s="41"/>
      <c r="G21" s="41"/>
      <c r="H21" s="41"/>
      <c r="I21" s="41"/>
      <c r="J21" s="18"/>
      <c r="K21" s="41"/>
      <c r="L21" s="41"/>
    </row>
    <row r="22" spans="2:13" s="30" customFormat="1" x14ac:dyDescent="0.25">
      <c r="B22" t="s">
        <v>17</v>
      </c>
      <c r="D22" s="41">
        <v>418</v>
      </c>
      <c r="E22" s="41"/>
      <c r="F22" s="41">
        <v>8</v>
      </c>
      <c r="G22" s="41"/>
      <c r="H22" s="41">
        <v>1</v>
      </c>
      <c r="I22" s="41"/>
      <c r="J22" s="18">
        <v>83</v>
      </c>
      <c r="K22" s="41"/>
      <c r="L22" s="41">
        <f>SUM(D22:K22)</f>
        <v>510</v>
      </c>
    </row>
    <row r="23" spans="2:13" s="30" customFormat="1" x14ac:dyDescent="0.25">
      <c r="B23" s="12" t="s">
        <v>18</v>
      </c>
      <c r="D23" s="41">
        <v>63</v>
      </c>
      <c r="E23" s="41"/>
      <c r="F23" s="41">
        <v>3</v>
      </c>
      <c r="G23" s="41"/>
      <c r="H23" s="41">
        <v>0</v>
      </c>
      <c r="I23" s="41"/>
      <c r="J23" s="18">
        <v>0</v>
      </c>
      <c r="K23" s="41"/>
      <c r="L23" s="41">
        <f>SUM(D23:K23)</f>
        <v>66</v>
      </c>
    </row>
    <row r="24" spans="2:13" s="30" customFormat="1" x14ac:dyDescent="0.25">
      <c r="B24" s="53" t="s">
        <v>16</v>
      </c>
      <c r="D24" s="54">
        <f>+D23+D22</f>
        <v>481</v>
      </c>
      <c r="E24" s="41"/>
      <c r="F24" s="54">
        <f>+F23+F22</f>
        <v>11</v>
      </c>
      <c r="G24" s="41"/>
      <c r="H24" s="54">
        <f>+H23+H22</f>
        <v>1</v>
      </c>
      <c r="I24" s="41"/>
      <c r="J24" s="54">
        <f>+J23+J22</f>
        <v>83</v>
      </c>
      <c r="K24" s="41"/>
      <c r="L24" s="54">
        <f>+L23+L22</f>
        <v>576</v>
      </c>
    </row>
    <row r="25" spans="2:13" s="30" customFormat="1" x14ac:dyDescent="0.25">
      <c r="B25" s="35"/>
      <c r="C25" s="35"/>
      <c r="D25" s="41"/>
      <c r="E25" s="41"/>
      <c r="F25" s="41"/>
      <c r="G25" s="41"/>
      <c r="H25" s="41"/>
      <c r="I25" s="41"/>
      <c r="J25" s="18"/>
      <c r="K25" s="41"/>
      <c r="L25"/>
    </row>
    <row r="26" spans="2:13" s="30" customFormat="1" ht="15" x14ac:dyDescent="0.3">
      <c r="B26" s="11" t="s">
        <v>41</v>
      </c>
      <c r="C26" s="35"/>
      <c r="D26" s="41"/>
      <c r="E26" s="41"/>
      <c r="F26" s="41"/>
      <c r="G26" s="41"/>
      <c r="H26" s="41"/>
      <c r="I26" s="41"/>
      <c r="J26" s="18"/>
      <c r="K26" s="41"/>
      <c r="L26" s="41"/>
    </row>
    <row r="27" spans="2:13" s="30" customFormat="1" x14ac:dyDescent="0.25">
      <c r="B27" t="s">
        <v>17</v>
      </c>
      <c r="D27" s="58">
        <f>ROUND(D12+D17+D22/6,0)</f>
        <v>279</v>
      </c>
      <c r="E27" s="58"/>
      <c r="F27" s="58">
        <f>ROUND(F12+F17+F22/6,0)</f>
        <v>110</v>
      </c>
      <c r="G27" s="58"/>
      <c r="H27" s="58">
        <f>ROUND(H12+H17+H22/6,0)</f>
        <v>2</v>
      </c>
      <c r="I27" s="58"/>
      <c r="J27" s="58">
        <f>ROUND(J12+J17+J22/6,0)</f>
        <v>14</v>
      </c>
      <c r="K27" s="58"/>
      <c r="L27" s="58">
        <f>SUM(D27:K27)</f>
        <v>405</v>
      </c>
      <c r="M27" s="59"/>
    </row>
    <row r="28" spans="2:13" s="30" customFormat="1" x14ac:dyDescent="0.25">
      <c r="B28" s="12" t="s">
        <v>18</v>
      </c>
      <c r="D28" s="58">
        <f>ROUND(D13+D18+D23/6,0)-1</f>
        <v>45</v>
      </c>
      <c r="E28" s="58"/>
      <c r="F28" s="58">
        <f>ROUND(F13+F18+F23/6,0)</f>
        <v>30</v>
      </c>
      <c r="G28" s="58"/>
      <c r="H28" s="58">
        <f>ROUND(H13+H18+H23/6,0)</f>
        <v>0</v>
      </c>
      <c r="I28" s="58"/>
      <c r="J28" s="58">
        <f>ROUND(J13+J18+J23/6,0)</f>
        <v>0</v>
      </c>
      <c r="K28" s="58"/>
      <c r="L28" s="58">
        <f>SUM(D28:K28)</f>
        <v>75</v>
      </c>
      <c r="M28" s="59"/>
    </row>
    <row r="29" spans="2:13" s="30" customFormat="1" ht="13" thickBot="1" x14ac:dyDescent="0.3">
      <c r="B29" s="53" t="s">
        <v>16</v>
      </c>
      <c r="D29" s="60">
        <f>+D28+D27</f>
        <v>324</v>
      </c>
      <c r="E29" s="41"/>
      <c r="F29" s="60">
        <f>+F28+F27</f>
        <v>140</v>
      </c>
      <c r="G29" s="41"/>
      <c r="H29" s="60">
        <f>+H28+H27</f>
        <v>2</v>
      </c>
      <c r="I29" s="41"/>
      <c r="J29" s="60">
        <f>+J28+J27</f>
        <v>14</v>
      </c>
      <c r="K29" s="41"/>
      <c r="L29" s="60">
        <f>+L28+L27</f>
        <v>480</v>
      </c>
    </row>
    <row r="30" spans="2:13" ht="13" thickTop="1" x14ac:dyDescent="0.25"/>
    <row r="32" spans="2:13" x14ac:dyDescent="0.25">
      <c r="B32" s="79" t="s">
        <v>42</v>
      </c>
    </row>
    <row r="33" spans="2:2" ht="6" customHeight="1" x14ac:dyDescent="0.25">
      <c r="B33" s="79"/>
    </row>
    <row r="34" spans="2:2" x14ac:dyDescent="0.25">
      <c r="B34" s="79" t="s">
        <v>31</v>
      </c>
    </row>
    <row r="35" spans="2:2" x14ac:dyDescent="0.25">
      <c r="B35" s="79" t="s">
        <v>32</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2020-03-04T21:26:04Z</cp:lastPrinted>
  <dcterms:created xsi:type="dcterms:W3CDTF">2014-09-30T22:55:06Z</dcterms:created>
  <dcterms:modified xsi:type="dcterms:W3CDTF">2022-08-01T22:38:53Z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y fmtid="{D5CDD505-2E9C-101B-9397-08002B2CF9AE}" pid="9" name="SV_HIDDEN_GRID_QUERY_LIST_4F35BF76-6C0D-4D9B-82B2-816C12CF3733">
    <vt:lpwstr>empty_477D106A-C0D6-4607-AEBD-E2C9D60EA279</vt:lpwstr>
  </property>
</Properties>
</file>